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585" activeTab="0"/>
  </bookViews>
  <sheets>
    <sheet name="Frontblad" sheetId="1" r:id="rId1"/>
    <sheet name="Invoerblad" sheetId="2" r:id="rId2"/>
    <sheet name="Logboek" sheetId="3" r:id="rId3"/>
    <sheet name="Simulatieblad" sheetId="4" r:id="rId4"/>
    <sheet name="Opzoekings tabellen" sheetId="5" r:id="rId5"/>
    <sheet name="Afdruk blad" sheetId="6" r:id="rId6"/>
  </sheets>
  <definedNames/>
  <calcPr fullCalcOnLoad="1"/>
</workbook>
</file>

<file path=xl/comments1.xml><?xml version="1.0" encoding="utf-8"?>
<comments xmlns="http://schemas.openxmlformats.org/spreadsheetml/2006/main">
  <authors>
    <author>Etienne</author>
  </authors>
  <commentList>
    <comment ref="B9" authorId="0">
      <text>
        <r>
          <rPr>
            <b/>
            <sz val="8"/>
            <rFont val="Tahoma"/>
            <family val="0"/>
          </rPr>
          <t>Etienne:</t>
        </r>
        <r>
          <rPr>
            <sz val="8"/>
            <rFont val="Tahoma"/>
            <family val="0"/>
          </rPr>
          <t xml:space="preserve">
Als amateur wijnmaker wens ik je veel succes met het maken van een lekker wijntje!!!!
Vul de gevraagde gegvens zo getrouw mogelijk in, het zal er toe bijdragen dat alles als waarschijnlijk vanzelfsprekend zal functioneren.
De grote openingen tussen de verschillende onderdelen laten je toe eigen bevindingen, of veranderende technologie, toe te voegen aan de berekeningen zonder al te veel herschrijfwerk.                                                                                                                     De in te vullen waarden zijn in een andere kleur zodat men goed kan zien wat men ingevuld heeft.</t>
        </r>
      </text>
    </comment>
    <comment ref="C10" authorId="0">
      <text>
        <r>
          <rPr>
            <b/>
            <sz val="8"/>
            <rFont val="Tahoma"/>
            <family val="0"/>
          </rPr>
          <t>Hoi:</t>
        </r>
        <r>
          <rPr>
            <sz val="8"/>
            <rFont val="Tahoma"/>
            <family val="0"/>
          </rPr>
          <t xml:space="preserve">
Dit is een alleen lezen map, indien je veranderingen wil aanbrengen vink dan alleen lezen uit. </t>
        </r>
      </text>
    </comment>
  </commentList>
</comments>
</file>

<file path=xl/comments2.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Vul steeds een nummer in, druivensap is 1 en appelsap is 2, 0 bij afsluiten</t>
        </r>
      </text>
    </comment>
    <comment ref="G16" authorId="0">
      <text>
        <r>
          <rPr>
            <b/>
            <sz val="8"/>
            <rFont val="Tahoma"/>
            <family val="0"/>
          </rPr>
          <t>Hallo:</t>
        </r>
        <r>
          <rPr>
            <sz val="8"/>
            <rFont val="Tahoma"/>
            <family val="0"/>
          </rPr>
          <t xml:space="preserve">
Vul steeds een nummer in, druivensap is 1 en appelsap is 2, 0 bij afsluiten.</t>
        </r>
      </text>
    </comment>
    <comment ref="C195" authorId="0">
      <text>
        <r>
          <rPr>
            <b/>
            <sz val="8"/>
            <rFont val="Tahoma"/>
            <family val="0"/>
          </rPr>
          <t>Hallo:</t>
        </r>
        <r>
          <rPr>
            <sz val="8"/>
            <rFont val="Tahoma"/>
            <family val="0"/>
          </rPr>
          <t xml:space="preserve">
De 5 de regel steeds als laatste invullen.</t>
        </r>
      </text>
    </comment>
    <comment ref="F109" authorId="0">
      <text>
        <r>
          <rPr>
            <b/>
            <sz val="8"/>
            <rFont val="Tahoma"/>
            <family val="0"/>
          </rPr>
          <t>Hallo:</t>
        </r>
        <r>
          <rPr>
            <sz val="8"/>
            <rFont val="Tahoma"/>
            <family val="0"/>
          </rPr>
          <t xml:space="preserve">
Vul steeds een nummer in, druivensap is 1 en appelsap is 2</t>
        </r>
      </text>
    </comment>
    <comment ref="G131" authorId="0">
      <text>
        <r>
          <rPr>
            <b/>
            <sz val="8"/>
            <rFont val="Tahoma"/>
            <family val="0"/>
          </rPr>
          <t>Hallo:</t>
        </r>
        <r>
          <rPr>
            <sz val="8"/>
            <rFont val="Tahoma"/>
            <family val="0"/>
          </rPr>
          <t xml:space="preserve">
Dit cijfer geeft de samenstelling van de zuren aan, het veranderd automatisch.</t>
        </r>
      </text>
    </comment>
    <comment ref="D101" authorId="0">
      <text>
        <r>
          <rPr>
            <b/>
            <sz val="8"/>
            <rFont val="Tahoma"/>
            <family val="0"/>
          </rPr>
          <t>LET OP:</t>
        </r>
        <r>
          <rPr>
            <sz val="8"/>
            <rFont val="Tahoma"/>
            <family val="0"/>
          </rPr>
          <t xml:space="preserve">
Indien het zuur 0 is vul dan 0,001 in.</t>
        </r>
      </text>
    </comment>
    <comment ref="D108" authorId="0">
      <text>
        <r>
          <rPr>
            <b/>
            <sz val="8"/>
            <rFont val="Tahoma"/>
            <family val="0"/>
          </rPr>
          <t>LET OP:</t>
        </r>
        <r>
          <rPr>
            <sz val="8"/>
            <rFont val="Tahoma"/>
            <family val="0"/>
          </rPr>
          <t xml:space="preserve">
Indien het zuur 0 is vul dan 0,001 in.</t>
        </r>
      </text>
    </comment>
    <comment ref="E90" authorId="0">
      <text>
        <r>
          <rPr>
            <b/>
            <sz val="8"/>
            <rFont val="Tahoma"/>
            <family val="0"/>
          </rPr>
          <t>Hoi:
Jammer genoeg moet dit ingevuld worden, indien het sap niet voorgeklaard is moet de hoeveelheid liter van de persing genomen worden</t>
        </r>
      </text>
    </comment>
  </commentList>
</comments>
</file>

<file path=xl/comments3.xml><?xml version="1.0" encoding="utf-8"?>
<comments xmlns="http://schemas.openxmlformats.org/spreadsheetml/2006/main">
  <authors>
    <author>Etienne</author>
  </authors>
  <commentList>
    <comment ref="G11" authorId="0">
      <text>
        <r>
          <rPr>
            <b/>
            <sz val="8"/>
            <rFont val="Tahoma"/>
            <family val="0"/>
          </rPr>
          <t>Hallo:</t>
        </r>
        <r>
          <rPr>
            <sz val="8"/>
            <rFont val="Tahoma"/>
            <family val="0"/>
          </rPr>
          <t xml:space="preserve">
Het cijfer veranderd automatisch, laat het dus staan.</t>
        </r>
      </text>
    </comment>
    <comment ref="G321" authorId="0">
      <text>
        <r>
          <rPr>
            <b/>
            <sz val="8"/>
            <rFont val="Tahoma"/>
            <family val="0"/>
          </rPr>
          <t>Hallo:</t>
        </r>
        <r>
          <rPr>
            <sz val="8"/>
            <rFont val="Tahoma"/>
            <family val="0"/>
          </rPr>
          <t xml:space="preserve">
In onderstaande tabel de laatste regel steeds invullen</t>
        </r>
      </text>
    </comment>
    <comment ref="F123" authorId="0">
      <text>
        <r>
          <rPr>
            <b/>
            <sz val="8"/>
            <rFont val="Tahoma"/>
            <family val="0"/>
          </rPr>
          <t>Hallo:</t>
        </r>
        <r>
          <rPr>
            <sz val="8"/>
            <rFont val="Tahoma"/>
            <family val="0"/>
          </rPr>
          <t xml:space="preserve">
Vul steeds een nummer in,druivensap is 1 en appelsap is 2</t>
        </r>
      </text>
    </comment>
    <comment ref="H155" authorId="0">
      <text>
        <r>
          <rPr>
            <b/>
            <sz val="8"/>
            <rFont val="Tahoma"/>
            <family val="0"/>
          </rPr>
          <t>Hoi:</t>
        </r>
        <r>
          <rPr>
            <sz val="8"/>
            <rFont val="Tahoma"/>
            <family val="0"/>
          </rPr>
          <t xml:space="preserve">
Geef uw voorkeur van samenstelling van de zuren op, zie tabel hierboven. Bij afsluiten steeds 0 ingeven.</t>
        </r>
      </text>
    </comment>
    <comment ref="G483" authorId="0">
      <text>
        <r>
          <rPr>
            <b/>
            <sz val="8"/>
            <rFont val="Tahoma"/>
            <family val="0"/>
          </rPr>
          <t>Hallo:</t>
        </r>
        <r>
          <rPr>
            <sz val="8"/>
            <rFont val="Tahoma"/>
            <family val="0"/>
          </rPr>
          <t xml:space="preserve">
Jammer genoeg moet je hier zelf je keuze maken, hou rekening met de zuurvermindering.</t>
        </r>
      </text>
    </comment>
    <comment ref="F485" authorId="0">
      <text>
        <r>
          <rPr>
            <b/>
            <sz val="8"/>
            <rFont val="Tahoma"/>
            <family val="0"/>
          </rPr>
          <t>Let op:</t>
        </r>
        <r>
          <rPr>
            <sz val="8"/>
            <rFont val="Tahoma"/>
            <family val="0"/>
          </rPr>
          <t xml:space="preserve">
Zelf in te vullen, hou rekening met de zuurvermindering</t>
        </r>
      </text>
    </comment>
    <comment ref="D329" authorId="0">
      <text>
        <r>
          <rPr>
            <b/>
            <sz val="8"/>
            <rFont val="Tahoma"/>
            <family val="0"/>
          </rPr>
          <t>Hallo:</t>
        </r>
        <r>
          <rPr>
            <sz val="8"/>
            <rFont val="Tahoma"/>
            <family val="0"/>
          </rPr>
          <t xml:space="preserve">
steeds als laatste invullen</t>
        </r>
      </text>
    </comment>
    <comment ref="F329" authorId="0">
      <text>
        <r>
          <rPr>
            <b/>
            <sz val="8"/>
            <rFont val="Tahoma"/>
            <family val="0"/>
          </rPr>
          <t>Hallo:</t>
        </r>
        <r>
          <rPr>
            <sz val="8"/>
            <rFont val="Tahoma"/>
            <family val="0"/>
          </rPr>
          <t xml:space="preserve">
Steeds als laatse invullen</t>
        </r>
      </text>
    </comment>
    <comment ref="B152" authorId="0">
      <text>
        <r>
          <rPr>
            <b/>
            <sz val="8"/>
            <rFont val="Tahoma"/>
            <family val="0"/>
          </rPr>
          <t>Opmerking:</t>
        </r>
        <r>
          <rPr>
            <sz val="8"/>
            <rFont val="Tahoma"/>
            <family val="0"/>
          </rPr>
          <t xml:space="preserve">
Indien het gemeten zuur groter is dan het gewenst zuur,moet er geen zuur bijgevoegd worden.</t>
        </r>
      </text>
    </comment>
    <comment ref="G16" authorId="0">
      <text>
        <r>
          <rPr>
            <b/>
            <sz val="8"/>
            <rFont val="Tahoma"/>
            <family val="0"/>
          </rPr>
          <t>Hallo:</t>
        </r>
        <r>
          <rPr>
            <sz val="8"/>
            <rFont val="Tahoma"/>
            <family val="0"/>
          </rPr>
          <t xml:space="preserve">
Het cijfer veranderd automatisch, laat het dus staan.</t>
        </r>
      </text>
    </comment>
    <comment ref="G539" authorId="0">
      <text>
        <r>
          <rPr>
            <b/>
            <sz val="8"/>
            <rFont val="Tahoma"/>
            <family val="0"/>
          </rPr>
          <t>Een klare kop doet hier wonderen:</t>
        </r>
        <r>
          <rPr>
            <sz val="8"/>
            <rFont val="Tahoma"/>
            <family val="0"/>
          </rPr>
          <t xml:space="preserve">
Indien je gebruik gemaakt hebt van Acidex vul dan het gewenste zuur in.</t>
        </r>
      </text>
    </comment>
    <comment ref="F197" authorId="0">
      <text>
        <r>
          <rPr>
            <b/>
            <sz val="8"/>
            <rFont val="Tahoma"/>
            <family val="0"/>
          </rPr>
          <t>Indien gebruik gemaakt is van neerslagkalk of Acidex:</t>
        </r>
        <r>
          <rPr>
            <sz val="8"/>
            <rFont val="Tahoma"/>
            <family val="0"/>
          </rPr>
          <t xml:space="preserve">
Haal de gegevens op bij G483 of op D539, anders is het 0.</t>
        </r>
      </text>
    </comment>
  </commentList>
</comments>
</file>

<file path=xl/comments4.xml><?xml version="1.0" encoding="utf-8"?>
<comments xmlns="http://schemas.openxmlformats.org/spreadsheetml/2006/main">
  <authors>
    <author>Etienne</author>
  </authors>
  <commentList>
    <comment ref="A2" authorId="0">
      <text>
        <r>
          <rPr>
            <b/>
            <sz val="8"/>
            <rFont val="Tahoma"/>
            <family val="0"/>
          </rPr>
          <t>Hallo:</t>
        </r>
        <r>
          <rPr>
            <sz val="8"/>
            <rFont val="Tahoma"/>
            <family val="0"/>
          </rPr>
          <t xml:space="preserve">
B16,E16,B18,E18,B24,E24,B26,E26,B32,E32,B34,E24 kunnen ingevuld worden.</t>
        </r>
      </text>
    </comment>
    <comment ref="D38" authorId="0">
      <text>
        <r>
          <rPr>
            <b/>
            <sz val="8"/>
            <rFont val="Tahoma"/>
            <family val="0"/>
          </rPr>
          <t>Hallo:</t>
        </r>
        <r>
          <rPr>
            <sz val="8"/>
            <rFont val="Tahoma"/>
            <family val="0"/>
          </rPr>
          <t xml:space="preserve">
D40,D42,D46 kunnen ingevuld worden</t>
        </r>
      </text>
    </comment>
    <comment ref="D59" authorId="0">
      <text>
        <r>
          <rPr>
            <b/>
            <sz val="8"/>
            <rFont val="Tahoma"/>
            <family val="0"/>
          </rPr>
          <t>Hallo:</t>
        </r>
        <r>
          <rPr>
            <sz val="8"/>
            <rFont val="Tahoma"/>
            <family val="0"/>
          </rPr>
          <t xml:space="preserve">
D61,D63,D65 kunnen ingevuld worden</t>
        </r>
      </text>
    </comment>
    <comment ref="D69" authorId="0">
      <text>
        <r>
          <rPr>
            <b/>
            <sz val="8"/>
            <rFont val="Tahoma"/>
            <family val="0"/>
          </rPr>
          <t>Hallo:</t>
        </r>
        <r>
          <rPr>
            <sz val="8"/>
            <rFont val="Tahoma"/>
            <family val="0"/>
          </rPr>
          <t xml:space="preserve">
De relatie met het aantal liter sap is automatisch gelegd.</t>
        </r>
      </text>
    </comment>
    <comment ref="D67" authorId="0">
      <text>
        <r>
          <rPr>
            <b/>
            <sz val="8"/>
            <rFont val="Tahoma"/>
            <family val="0"/>
          </rPr>
          <t>Hallo:</t>
        </r>
        <r>
          <rPr>
            <sz val="8"/>
            <rFont val="Tahoma"/>
            <family val="0"/>
          </rPr>
          <t xml:space="preserve">
Relatie met het aantal liter sap is automatisch gelegd.</t>
        </r>
      </text>
    </comment>
  </commentList>
</comments>
</file>

<file path=xl/sharedStrings.xml><?xml version="1.0" encoding="utf-8"?>
<sst xmlns="http://schemas.openxmlformats.org/spreadsheetml/2006/main" count="1150" uniqueCount="427">
  <si>
    <t>Blad 1</t>
  </si>
  <si>
    <t>Invoerblad</t>
  </si>
  <si>
    <t>Naam van de wijn:</t>
  </si>
  <si>
    <t>Wijn nr.:</t>
  </si>
  <si>
    <t>Datum:</t>
  </si>
  <si>
    <t>Startersamenstelling:</t>
  </si>
  <si>
    <t>Gistrehydratatiemiddel:</t>
  </si>
  <si>
    <t>liter water</t>
  </si>
  <si>
    <t>liter sap</t>
  </si>
  <si>
    <t>Merk:</t>
  </si>
  <si>
    <t>Naam:</t>
  </si>
  <si>
    <t>Druivensap is 1</t>
  </si>
  <si>
    <t>Appelsap is 2</t>
  </si>
  <si>
    <t>Verdere aanvullingen:</t>
  </si>
  <si>
    <t xml:space="preserve">Samenstelling sap: </t>
  </si>
  <si>
    <t>Soortelijk gewicht:</t>
  </si>
  <si>
    <t>Öchsle</t>
  </si>
  <si>
    <t>Zuur:</t>
  </si>
  <si>
    <t>gram / liter</t>
  </si>
  <si>
    <t>Volgens V.A.W. tabellen:</t>
  </si>
  <si>
    <t>gram suiker / liter</t>
  </si>
  <si>
    <t>Uur toevoeging gist aan starter:</t>
  </si>
  <si>
    <t>uur</t>
  </si>
  <si>
    <t>Uur eerste tekenen van gisting:</t>
  </si>
  <si>
    <t>Omgevingstemperatuur:</t>
  </si>
  <si>
    <t>° C</t>
  </si>
  <si>
    <t>Gistras:</t>
  </si>
  <si>
    <t>Houdbaarheidsdatum:</t>
  </si>
  <si>
    <t>Gewicht:</t>
  </si>
  <si>
    <t>gram</t>
  </si>
  <si>
    <t>Blad 2</t>
  </si>
  <si>
    <t>Gistvoeding:</t>
  </si>
  <si>
    <t>Suiker:</t>
  </si>
  <si>
    <t>Citroenzuur:</t>
  </si>
  <si>
    <t>Wijnsteenzuur:</t>
  </si>
  <si>
    <t>Gemengde zuren A:</t>
  </si>
  <si>
    <t>Appelzuur:</t>
  </si>
  <si>
    <t>Gemengd zuur B:</t>
  </si>
  <si>
    <t>Fruitsoorten:</t>
  </si>
  <si>
    <t>Datum pluk:</t>
  </si>
  <si>
    <t>liter</t>
  </si>
  <si>
    <t>kilogram</t>
  </si>
  <si>
    <t>Densiteit en zuur van de verschillende fruitsoorten:</t>
  </si>
  <si>
    <t>Gemeten zuur:</t>
  </si>
  <si>
    <t>Gewenst zuur:</t>
  </si>
  <si>
    <t>Het fruit:</t>
  </si>
  <si>
    <t>Gewenst alcoholgehalte:</t>
  </si>
  <si>
    <t>° / liter</t>
  </si>
  <si>
    <t>Hoeveelheid liter most na voorklaring:</t>
  </si>
  <si>
    <t>Toevoegingen aan de most:</t>
  </si>
  <si>
    <t>Sulfiet fruit:</t>
  </si>
  <si>
    <t>Sulfiet most:</t>
  </si>
  <si>
    <t>Pectoënzymen:</t>
  </si>
  <si>
    <t>Tanine galnoten:</t>
  </si>
  <si>
    <t>Tanine druiven:</t>
  </si>
  <si>
    <t>Sap zuurcorrectie:</t>
  </si>
  <si>
    <t>S.G.ontzuringssap:</t>
  </si>
  <si>
    <t>Zuur ontzuringssap:</t>
  </si>
  <si>
    <t>Merk ontzuringssap:</t>
  </si>
  <si>
    <t>Bentoniet voorklaring:</t>
  </si>
  <si>
    <t>Zuur te kort:</t>
  </si>
  <si>
    <t>Toegevoegd:</t>
  </si>
  <si>
    <t>gram wijnsteenzuur</t>
  </si>
  <si>
    <t>gram citroenzuur</t>
  </si>
  <si>
    <t>gram appelzuur</t>
  </si>
  <si>
    <t>Metingen en bevindingen:</t>
  </si>
  <si>
    <t>Extra toevoegingen aan starter:</t>
  </si>
  <si>
    <t xml:space="preserve">gram /ml </t>
  </si>
  <si>
    <t>Spoeling hoed:</t>
  </si>
  <si>
    <t>S.G.spoeling hoed:</t>
  </si>
  <si>
    <t>Zuur spoeling hoed:</t>
  </si>
  <si>
    <t>Blad 3</t>
  </si>
  <si>
    <t>Gezamenlijk soortelijk gewicht van het fruit:</t>
  </si>
  <si>
    <t>Te veel zuur:</t>
  </si>
  <si>
    <t>Correctie door spoeling hoed:</t>
  </si>
  <si>
    <t>Correctie door toevoeging van sap:</t>
  </si>
  <si>
    <t>Correctie van de most:</t>
  </si>
  <si>
    <t>Correctie door toevoeging van chemische ontzuringsmiddelen:</t>
  </si>
  <si>
    <t>Neerslagkalk</t>
  </si>
  <si>
    <t>Acidex</t>
  </si>
  <si>
    <t>Extra toevoegingen aan de most:</t>
  </si>
  <si>
    <t>Bananen:</t>
  </si>
  <si>
    <t>Honing:</t>
  </si>
  <si>
    <t>Citroen:</t>
  </si>
  <si>
    <t>Appelsien:</t>
  </si>
  <si>
    <t>Rozijnen wit:</t>
  </si>
  <si>
    <t>Krenten:</t>
  </si>
  <si>
    <t>Rozijnen zwart:</t>
  </si>
  <si>
    <t>Blad 4</t>
  </si>
  <si>
    <t>Toevoegingen van de starter:</t>
  </si>
  <si>
    <t>Uur:</t>
  </si>
  <si>
    <t>Aanvangsdatum gisting:</t>
  </si>
  <si>
    <t>Eerste tekenen van de gisting:</t>
  </si>
  <si>
    <t>Pulpgisting:</t>
  </si>
  <si>
    <t>Duur van de pulpgisting:</t>
  </si>
  <si>
    <t>dagen</t>
  </si>
  <si>
    <t>Datum persing:</t>
  </si>
  <si>
    <t>S.G. voor de persing na de pulpgisting:</t>
  </si>
  <si>
    <t>Zuur voor de persing na de pulpgisting:</t>
  </si>
  <si>
    <t>S.G.na de persing na de pulpgisting:</t>
  </si>
  <si>
    <t>Zuur na de persing na de pulpgisting:</t>
  </si>
  <si>
    <t>Toevoegingen voor suiker te kort en zuurcorrectie door water:</t>
  </si>
  <si>
    <t>Blad 5</t>
  </si>
  <si>
    <t>gram suiker</t>
  </si>
  <si>
    <t>Overheveling:</t>
  </si>
  <si>
    <t>Datum</t>
  </si>
  <si>
    <t>Zuur</t>
  </si>
  <si>
    <t>S.G.</t>
  </si>
  <si>
    <t>Alcohol °</t>
  </si>
  <si>
    <t>Totale hoeveelheid aan most na persing:</t>
  </si>
  <si>
    <t>Sulfiet in gram</t>
  </si>
  <si>
    <t>Klaring van de wijn:</t>
  </si>
  <si>
    <t>Koude:</t>
  </si>
  <si>
    <t>Kiezelsol - Gelatine klaring:</t>
  </si>
  <si>
    <t>Hoeveelheid gelatine:</t>
  </si>
  <si>
    <t>Hoeveelheid kiezelsol:</t>
  </si>
  <si>
    <t>Hoeveelheid looistof:</t>
  </si>
  <si>
    <t>Looistof - Gelatine klaring:</t>
  </si>
  <si>
    <t>Vislijm klaring:</t>
  </si>
  <si>
    <t>Bentoniet klaring:</t>
  </si>
  <si>
    <t>Eiwit klaring:</t>
  </si>
  <si>
    <t>Actieve kool klaring:</t>
  </si>
  <si>
    <t>Hoeveelheid bentoniet:</t>
  </si>
  <si>
    <t>Hoeveelheid vislijm:</t>
  </si>
  <si>
    <t>ml</t>
  </si>
  <si>
    <t>Hoeveelheid:</t>
  </si>
  <si>
    <t>eiwitten</t>
  </si>
  <si>
    <t>Hoeveelheid actieve kool:</t>
  </si>
  <si>
    <t>gram / ml</t>
  </si>
  <si>
    <t>Filteren:</t>
  </si>
  <si>
    <t>schijven</t>
  </si>
  <si>
    <t>Type:</t>
  </si>
  <si>
    <t>Vrije sulfiet meting:</t>
  </si>
  <si>
    <t>mgram / liter</t>
  </si>
  <si>
    <t>Correctie door toevoeging van sulfiet:</t>
  </si>
  <si>
    <t>Toevoeging van :</t>
  </si>
  <si>
    <t>gram sulfiet</t>
  </si>
  <si>
    <t>Botteling:</t>
  </si>
  <si>
    <t>Behandeling van de kurken:</t>
  </si>
  <si>
    <t>ml glycerol</t>
  </si>
  <si>
    <t>gram zuur</t>
  </si>
  <si>
    <t>Zuursoort:</t>
  </si>
  <si>
    <t>Gebruikelijke toevoegingen:</t>
  </si>
  <si>
    <t>Kaliumsorbaat:</t>
  </si>
  <si>
    <t>Ascorbinezuur:</t>
  </si>
  <si>
    <t>Sulfiet:</t>
  </si>
  <si>
    <t>Aantal flessen:</t>
  </si>
  <si>
    <t>flessen van 1500 cl</t>
  </si>
  <si>
    <t>flessen van 25 cl</t>
  </si>
  <si>
    <t>flessen van 75 cl</t>
  </si>
  <si>
    <t>Densiteitstabel druiven</t>
  </si>
  <si>
    <t>Appel</t>
  </si>
  <si>
    <t>Bessen</t>
  </si>
  <si>
    <t>Andere vruchten</t>
  </si>
  <si>
    <t>Simulaties voor berekenen van zuur, suiker, alcohol, acidex, enz.</t>
  </si>
  <si>
    <t>Sap 1:</t>
  </si>
  <si>
    <t>Sap bekomen van persing, na voorklaring, aangekocht sap, uitgedrukt in liter</t>
  </si>
  <si>
    <t>Sap 2 :</t>
  </si>
  <si>
    <t>2 de sap, ontzuringssap, water, wijn</t>
  </si>
  <si>
    <t>Zuur 1 :</t>
  </si>
  <si>
    <t>Zuur van de te ontzuren wijn, uitgedrukt in gram per liter</t>
  </si>
  <si>
    <t>Zuur 2 :</t>
  </si>
  <si>
    <t>Zuur  van de bijgevoegde wijn, het ontzuringssap, het water, uitgedrukt in gram per liter</t>
  </si>
  <si>
    <t>Omrekening zuur:</t>
  </si>
  <si>
    <t>Omreking suiker:</t>
  </si>
  <si>
    <t>S.G. 1:</t>
  </si>
  <si>
    <t>S.G. 2:</t>
  </si>
  <si>
    <t>S.G.:</t>
  </si>
  <si>
    <t>Omrekening alcoholgehalte:</t>
  </si>
  <si>
    <t>Alcohol:</t>
  </si>
  <si>
    <t>° liter</t>
  </si>
  <si>
    <t>Omrekening Acidex:</t>
  </si>
  <si>
    <t>1. Gemeten zuur gehalte most:</t>
  </si>
  <si>
    <t>2. Gewenst zuur gehalte:</t>
  </si>
  <si>
    <t>3. Aantal grammen zuur per liter te ontzuren:</t>
  </si>
  <si>
    <t>4. Aantal liter most:</t>
  </si>
  <si>
    <t>5. Totale hoeveelheid zuur te ontzuren:</t>
  </si>
  <si>
    <t>6. Aantal grammen acidex nodig voor de ontzuring:</t>
  </si>
  <si>
    <t>7.Maximum aantal grammen zuur ter ontzuren:</t>
  </si>
  <si>
    <t>8. Hoeveelheid most die ontzuurd zal worden:</t>
  </si>
  <si>
    <t>9. Most die niet ontzuurd is:</t>
  </si>
  <si>
    <t>Dubbel zout ontzuring:</t>
  </si>
  <si>
    <t>Gewenst zuur</t>
  </si>
  <si>
    <t>Gemeten zuur</t>
  </si>
  <si>
    <t>(voor witte wijn maximum tot 8 gr / liter afbreken)</t>
  </si>
  <si>
    <t>(voor rode wijn maximum tot 6 gr / liter afbreken)</t>
  </si>
  <si>
    <t>Aantal liter sap:</t>
  </si>
  <si>
    <t>Toe te voegen neoanticid:</t>
  </si>
  <si>
    <t xml:space="preserve">Bij deze neoanticid dient </t>
  </si>
  <si>
    <t>Maximale ontzuringsmogelijkheid</t>
  </si>
  <si>
    <t>Percentage van ontzuring</t>
  </si>
  <si>
    <t>gr / liter</t>
  </si>
  <si>
    <t>gr / l</t>
  </si>
  <si>
    <t>liter wijn gevoegd te worden</t>
  </si>
  <si>
    <t xml:space="preserve">Hoeveelheid liter wijn nodig om de neoanticid op te lossen.Deze tabel samen met bovenstaande tabel gebruiken.                    </t>
  </si>
  <si>
    <t>Hoeveelheid neoanticid nodig,uitgedrukt in gram, om bij de te ontzurende wijn te voegen, deze tabel samen met onderstaande gebruiken.</t>
  </si>
  <si>
    <t>Kalinat</t>
  </si>
  <si>
    <t>(fijnontzuring)</t>
  </si>
  <si>
    <t>Melkzuur:</t>
  </si>
  <si>
    <t>Zuur te kort (in wijnsteenzuur):</t>
  </si>
  <si>
    <t>Steeds in grammen bij te vullen</t>
  </si>
  <si>
    <t>Citroen</t>
  </si>
  <si>
    <t>Wijnsteen</t>
  </si>
  <si>
    <t>Melk 0,5</t>
  </si>
  <si>
    <t>Melk 0,8</t>
  </si>
  <si>
    <t>Melk 0,9</t>
  </si>
  <si>
    <t>Zuur tekort</t>
  </si>
  <si>
    <t>Mengsel A</t>
  </si>
  <si>
    <t>Mengsel B</t>
  </si>
  <si>
    <t xml:space="preserve">Deze tabel toont de kleinst bereikbare zuurwaarde (in gram per </t>
  </si>
  <si>
    <t>liter) van het wijnsteenaandeel op het totale meetbare zuur:</t>
  </si>
  <si>
    <t xml:space="preserve">Hoeveelheid in gram van de verschillende zuren, om de beide mengsels samen te </t>
  </si>
  <si>
    <t>stellen, om het gewenste zuur te verkrijgen:</t>
  </si>
  <si>
    <r>
      <t>Het logboek</t>
    </r>
    <r>
      <rPr>
        <sz val="10"/>
        <rFont val="Arial"/>
        <family val="0"/>
      </rPr>
      <t>: is het uiteindelijke wijnboek.</t>
    </r>
  </si>
  <si>
    <r>
      <t>Het simulatieblad</t>
    </r>
    <r>
      <rPr>
        <sz val="10"/>
        <rFont val="Arial"/>
        <family val="0"/>
      </rPr>
      <t>: geeft een mogelijkheid om gegevens te toetsen aan vermoedelijke bevindingen.</t>
    </r>
  </si>
  <si>
    <t>veel voorkomende tabellen.</t>
  </si>
  <si>
    <r>
      <t>De opzoekingstabellen</t>
    </r>
    <r>
      <rPr>
        <sz val="10"/>
        <rFont val="Arial"/>
        <family val="0"/>
      </rPr>
      <t xml:space="preserve">: zijn opgesteld naar VAW gegevens, verder zijn ze een verzameling van  </t>
    </r>
  </si>
  <si>
    <r>
      <t>Het afdruk blad</t>
    </r>
    <r>
      <rPr>
        <sz val="10"/>
        <rFont val="Arial"/>
        <family val="0"/>
      </rPr>
      <t>: is een verkorte weergave van het logboek, samengevat om op zo weinig mogelijk</t>
    </r>
  </si>
  <si>
    <t>papier te verbruiken in een verzamellogboek.</t>
  </si>
  <si>
    <t>Logboek</t>
  </si>
  <si>
    <t>ml / gram</t>
  </si>
  <si>
    <t>Totale starter in liter:</t>
  </si>
  <si>
    <t>Totaal aan zuren toegevoegd:</t>
  </si>
  <si>
    <t>Fruitsoort</t>
  </si>
  <si>
    <t>Aantal kilogram</t>
  </si>
  <si>
    <t>Aantal l na persing</t>
  </si>
  <si>
    <t>Rendement</t>
  </si>
  <si>
    <t>%</t>
  </si>
  <si>
    <t>Eindresultaat</t>
  </si>
  <si>
    <t>Blad 7</t>
  </si>
  <si>
    <t>Blad 8</t>
  </si>
  <si>
    <t>zuur hebben als de te verwachten wijn.</t>
  </si>
  <si>
    <t xml:space="preserve">Opleten: De hoeveelheid starter moet dezelfde densiteit en hetzelfde </t>
  </si>
  <si>
    <t>Aantal liter na persing:</t>
  </si>
  <si>
    <t>Werkingsgegevens most na aanpassingen:</t>
  </si>
  <si>
    <t>Aantal liter na aanpassingen:</t>
  </si>
  <si>
    <t>Soortelijk gewicht na aanpassingen:</t>
  </si>
  <si>
    <t>Zuur na aanpassingen met water of sap:</t>
  </si>
  <si>
    <t>Suiker / zuur correctie:</t>
  </si>
  <si>
    <t>Zuur ontzuringssap (b.v. water):</t>
  </si>
  <si>
    <t>Toevoegingen aan de most</t>
  </si>
  <si>
    <t>Product</t>
  </si>
  <si>
    <t>Sulfiet ontsmetting most</t>
  </si>
  <si>
    <t>Hoeveelheid in gram / 10 liter</t>
  </si>
  <si>
    <t>Gewicht toevoegingen</t>
  </si>
  <si>
    <t>Sulfiet ontsmetting fruit</t>
  </si>
  <si>
    <t>Gistvoeding</t>
  </si>
  <si>
    <t>Pectoënzymen</t>
  </si>
  <si>
    <t>Bentoniet voorklaring</t>
  </si>
  <si>
    <t>Tanine galnoten</t>
  </si>
  <si>
    <t>Tanine druiven</t>
  </si>
  <si>
    <t>Maximum</t>
  </si>
  <si>
    <t>1,2 gram / 10 kg</t>
  </si>
  <si>
    <t>1,2 gram / 10 l</t>
  </si>
  <si>
    <t>3 gram / 10 l</t>
  </si>
  <si>
    <t>10 gram / 10 l</t>
  </si>
  <si>
    <t>8 gram / 10 l</t>
  </si>
  <si>
    <t>5 gram / 10 l</t>
  </si>
  <si>
    <t>Berekening zuur correctie:</t>
  </si>
  <si>
    <t>Zuurtegraad sap</t>
  </si>
  <si>
    <t>Ontzuringssap</t>
  </si>
  <si>
    <t>Soortelijk gewicht aanpassingen:</t>
  </si>
  <si>
    <t>suiker / zuur correctie</t>
  </si>
  <si>
    <t>gram suiker in sap / liter</t>
  </si>
  <si>
    <t>min</t>
  </si>
  <si>
    <t>Berekening zuur:</t>
  </si>
  <si>
    <t>liter sap op</t>
  </si>
  <si>
    <t>liter ontzuringssap</t>
  </si>
  <si>
    <t>1 liter =</t>
  </si>
  <si>
    <t>liter most=</t>
  </si>
  <si>
    <t>x</t>
  </si>
  <si>
    <t>=</t>
  </si>
  <si>
    <t>Totaal aan most:</t>
  </si>
  <si>
    <t>l sap  +</t>
  </si>
  <si>
    <t>l ontzuringssap =</t>
  </si>
  <si>
    <t>liter most</t>
  </si>
  <si>
    <t>x 17 gram /liter =</t>
  </si>
  <si>
    <t>Gewenst:</t>
  </si>
  <si>
    <t>kg suiker</t>
  </si>
  <si>
    <t>Totaal:</t>
  </si>
  <si>
    <t>Aanwezig:</t>
  </si>
  <si>
    <t>Bij te voegen suiker:</t>
  </si>
  <si>
    <t>kg gewenst</t>
  </si>
  <si>
    <t>kg aanwezig</t>
  </si>
  <si>
    <t>kg suiker bij te voegen</t>
  </si>
  <si>
    <t>1 kilogram suiker geeft een volume vermeerdering van 0,6 liter</t>
  </si>
  <si>
    <t>Bij te voegen ontzuringssap:</t>
  </si>
  <si>
    <t>x 0,6</t>
  </si>
  <si>
    <t>suikercorrectie in liter</t>
  </si>
  <si>
    <t>liter ontzuringssap bij te voegen</t>
  </si>
  <si>
    <t>Toevoegingen van water en suiker:</t>
  </si>
  <si>
    <t>Totaal bij te voegen suiker</t>
  </si>
  <si>
    <t>Kilogram</t>
  </si>
  <si>
    <t>1 ste suiker gift</t>
  </si>
  <si>
    <t>2 de suiker gift</t>
  </si>
  <si>
    <t>3 de suiker gift</t>
  </si>
  <si>
    <t>Totaal bij te voegen water</t>
  </si>
  <si>
    <t>Liter</t>
  </si>
  <si>
    <t>1 ste watergift</t>
  </si>
  <si>
    <t>2 de water gift</t>
  </si>
  <si>
    <t>3 de water gift</t>
  </si>
  <si>
    <t>Overhevelingen:</t>
  </si>
  <si>
    <t>Sulfiet gift in gram</t>
  </si>
  <si>
    <t>Hoeveelheid in liter</t>
  </si>
  <si>
    <t>gram / 10 l</t>
  </si>
  <si>
    <t>Uiteindelijke toevoegingen:</t>
  </si>
  <si>
    <t>Rabarber:</t>
  </si>
  <si>
    <t xml:space="preserve">kilogram </t>
  </si>
  <si>
    <t>(2 gr kalk/kg geeft een vermindering van 1 gr oxaalzuur</t>
  </si>
  <si>
    <t>/ kg (voor hoeveelheid zie 1 ))</t>
  </si>
  <si>
    <t>(2,5 gr kalk/l geeft een vermindering van 1 gr oxaalzuur</t>
  </si>
  <si>
    <t>/ l (voor hoeveelheid zie 1 ))</t>
  </si>
  <si>
    <t>1. Gewenste hoeveelheid ontzuring per  kilogram</t>
  </si>
  <si>
    <t>1 gram</t>
  </si>
  <si>
    <t>gram toe te voegen</t>
  </si>
  <si>
    <t>4 gram</t>
  </si>
  <si>
    <t>2 gram</t>
  </si>
  <si>
    <t>5 gram</t>
  </si>
  <si>
    <t>3 gram</t>
  </si>
  <si>
    <t>6 gram</t>
  </si>
  <si>
    <t>2. Gewenste hoeveelheid ontzuring per  liter</t>
  </si>
  <si>
    <t>Ontzuring van een sap door middel van neerslagkalk:</t>
  </si>
  <si>
    <t>Zuurvermindering:</t>
  </si>
  <si>
    <t>1 gram / l</t>
  </si>
  <si>
    <t>2 gram / l</t>
  </si>
  <si>
    <t>3 gram / l</t>
  </si>
  <si>
    <t>4 gram / l</t>
  </si>
  <si>
    <t xml:space="preserve">gram / l </t>
  </si>
  <si>
    <t>Zuur na correctie:</t>
  </si>
  <si>
    <t>gram / l</t>
  </si>
  <si>
    <t>Toevoegingshoeveelheid van neerslagkalk:</t>
  </si>
  <si>
    <t>toevoeging van spoelingsvloeistof voor hoed of fruitsap voor</t>
  </si>
  <si>
    <t>zuurvermindering.</t>
  </si>
  <si>
    <t>Omrekening voor spoeling van de hoed of aanpassing met fruitsap:</t>
  </si>
  <si>
    <t>Sap 1</t>
  </si>
  <si>
    <t>Zuur 1</t>
  </si>
  <si>
    <t>Sap 2</t>
  </si>
  <si>
    <t xml:space="preserve">Zuur 2 </t>
  </si>
  <si>
    <t>Hoeveelheid in liter:</t>
  </si>
  <si>
    <t>Werkingshoeveelheid</t>
  </si>
  <si>
    <t>Gemiddeld zuur:</t>
  </si>
  <si>
    <t>Werkingszuur</t>
  </si>
  <si>
    <t>Voor sap 2 en zuur 2 steeds 0 of waarde invullen.</t>
  </si>
  <si>
    <t>Omrekening voor toevoeging van water, fruitsap en berekening gemiddelde suikerwaarde</t>
  </si>
  <si>
    <t>S.G. 1</t>
  </si>
  <si>
    <t>S.G. 2</t>
  </si>
  <si>
    <t>Gemiddeld S.G.:</t>
  </si>
  <si>
    <t>Werkings S.G.</t>
  </si>
  <si>
    <t>Acidex:</t>
  </si>
  <si>
    <r>
      <t xml:space="preserve">Werking:  </t>
    </r>
    <r>
      <rPr>
        <sz val="10"/>
        <rFont val="Arial"/>
        <family val="2"/>
      </rPr>
      <t>Deze methode is het best te gebruiken voor wijnen of sappen waarvan het zuurgehalte</t>
    </r>
  </si>
  <si>
    <t>niet hoger is dan 15 gram wijnsteenzuur per liter. Voornamelijk voor druiven te gebruiken.</t>
  </si>
  <si>
    <t xml:space="preserve">Voeg de Acidex toe aan de vooraf berekende wijn of sap, roer tot er schuimvorming optreed, </t>
  </si>
  <si>
    <t>blijven roeren tot de schuim uit kristaliseerd en naar de bodem zakt. Wacht 10 tot 15 minuten en</t>
  </si>
  <si>
    <t>hevel langs de kraan voorzichtig af. Voeg de niet ontzuurde hoeveelheid wijn bij de afgehevelde</t>
  </si>
  <si>
    <t>en ontrzuurde wijn. Laat een paar uur staan en hevel opnieuw, filter eventueel.</t>
  </si>
  <si>
    <t>Omrekenings tabel voor acidex.</t>
  </si>
  <si>
    <t xml:space="preserve">(voor witte wijn maximum afbraak tot en met </t>
  </si>
  <si>
    <t>8 gr / liter, voor rode wijn afbraak tot maximum 6 gr/l)</t>
  </si>
  <si>
    <t>Toe te voegen neoanticid :</t>
  </si>
  <si>
    <t xml:space="preserve">gram </t>
  </si>
  <si>
    <t>Bij deze neoanticid dient bij</t>
  </si>
  <si>
    <t>liter wijn gevoegd</t>
  </si>
  <si>
    <t>Toevoegingen van kaliumsorbaat, ascorbinezuur en sulfiet zijn steeds</t>
  </si>
  <si>
    <t xml:space="preserve">                per 10 l en afhankelijk van het afvul soortelijk gewicht.</t>
  </si>
  <si>
    <t>Het oxaalzuur bij de eerste oogst is ongeveer 6 gr / kg.</t>
  </si>
  <si>
    <t xml:space="preserve">Maximum ontzuring is 4 gr / liter aan 0,67 gr neerslagkalk per gram  </t>
  </si>
  <si>
    <t>vermindering per liter met een maximum van 270 gram / 100 liter</t>
  </si>
  <si>
    <t xml:space="preserve">Sap 1 is sap na persing of voorklaring, zuur 1 is gemeten zuur, sap 2 is </t>
  </si>
  <si>
    <t>fruitsap</t>
  </si>
  <si>
    <t xml:space="preserve">spoelingsvloeistof of fruitsap, zuur 2 is zuur spoelingsvbloeistof of </t>
  </si>
  <si>
    <t>Sap 1 is sap na persing of voorklaring, S.G. 1 is volgens densiteits-</t>
  </si>
  <si>
    <t>tabellen V.A.W., sap 2 is hoeveelheid liter fruitsap, S.G.2 is suiker</t>
  </si>
  <si>
    <t>(volgens densiteitstabellen V.A.W.) van bijgevoegd fruitsap.</t>
  </si>
  <si>
    <t>Omrekening van hoeveelheid in liter, zuur en soortelijk gewicht na</t>
  </si>
  <si>
    <t xml:space="preserve">Controle aan de hand van tabel voor de dosering van Neoanticid bij de  </t>
  </si>
  <si>
    <t>dubbelzout methode</t>
  </si>
  <si>
    <t>Fijnontzuring door middel van kalinat:</t>
  </si>
  <si>
    <t xml:space="preserve">Bruikbaar voor jonge wijn en wijn. Wanneer er aansluitend een extreme koeling volgt heeft men de </t>
  </si>
  <si>
    <t>mogelijkheid om na enkele dagen de wijn te filteren en af te vullen.</t>
  </si>
  <si>
    <t>Maximale ontzuring is 1 gram per liter, hiervoor heeft men dan 0,67 gr</t>
  </si>
  <si>
    <t>kalinat per liter nodig.</t>
  </si>
  <si>
    <t>De benodigde hoeveelheid kalinat in een beetje water oplossen. Deze oplossing onder constant</t>
  </si>
  <si>
    <t xml:space="preserve">roeren onder de wijn roeren. Men moet op het overschuimen letten. Het beste is de wijn in de </t>
  </si>
  <si>
    <t>winterkoude &lt; 4° enkele dagen te plaatsen. Hierna zal men de ontzuring uitvoeren. Na enkele</t>
  </si>
  <si>
    <t>dagen afhevelen en filteren.</t>
  </si>
  <si>
    <t>Hoeveelheid te behandelen wijn:</t>
  </si>
  <si>
    <t>Toe te voegen kalinat:</t>
  </si>
  <si>
    <r>
      <t>Het invoerblad:</t>
    </r>
    <r>
      <rPr>
        <sz val="10"/>
        <rFont val="Arial"/>
        <family val="0"/>
      </rPr>
      <t xml:space="preserve"> dient om de gemeten gegevens onmiddellijk in te vullen. De in te vullen cijfers</t>
    </r>
  </si>
  <si>
    <t>zijn in het rose geschreven, je weet zo dat ze nieuw zijn. Ze kunnen steeds veranderd worden.</t>
  </si>
  <si>
    <t>Hoeveelheid aan zuren eventueel toe te voegen:</t>
  </si>
  <si>
    <t>Gemengde zuren B:</t>
  </si>
  <si>
    <t>Appelzuur</t>
  </si>
  <si>
    <t>Citroenzuur</t>
  </si>
  <si>
    <t>Citroen    zuur</t>
  </si>
  <si>
    <t>Wijnsteen  zuur</t>
  </si>
  <si>
    <t>Wijnsteen            zuur</t>
  </si>
  <si>
    <t>Melkzuur   50%</t>
  </si>
  <si>
    <t>Melkzuur   80%</t>
  </si>
  <si>
    <t>Melkzuur   90%</t>
  </si>
  <si>
    <t>De volgende samenstelling van zuren is gebruikt:</t>
  </si>
  <si>
    <t>Gemengd zuur A is 1</t>
  </si>
  <si>
    <t>Gemengd zuur B is 2</t>
  </si>
  <si>
    <t>Versnijden van wijnen om zuurtekort op te heffen:</t>
  </si>
  <si>
    <t>Wanneer gemengde zuren genomen worden, gebruikt men geen melkzuur.</t>
  </si>
  <si>
    <t>De hoeveelheden dienen afzonderlijk gebruikt te worden, dus of wijnsteenzuur, of citroenzuur, of appelzuur of melkzuur.</t>
  </si>
  <si>
    <t>Gewone zuren is 3</t>
  </si>
  <si>
    <t>Aantal liter wijn met te hoog zuurgehalte:</t>
  </si>
  <si>
    <t>Aantal liter wijn met te laag zuurgehalte:</t>
  </si>
  <si>
    <t>Zuur van wijn met te hoog zuurgehalte:</t>
  </si>
  <si>
    <t>Zuur van wijn met te laag zuurgehalte:</t>
  </si>
  <si>
    <t>Aantal liter wijn:</t>
  </si>
  <si>
    <t>liter met een zuur van</t>
  </si>
  <si>
    <t>Uit te proberen op simulatieblad van A16:G20</t>
  </si>
  <si>
    <t>Dit is uit te proberen op simulatieblad in de kolommen A16 tot G20</t>
  </si>
  <si>
    <t>Hoeveel liter van te zure wijn versneden:</t>
  </si>
  <si>
    <t>Hoeveel liter van te platte wijn versneden:</t>
  </si>
  <si>
    <t>Zuurgehalte van te platte wijn:</t>
  </si>
  <si>
    <t>Zuurgehalte van te zure wijn:</t>
  </si>
  <si>
    <t>Blad 6</t>
  </si>
  <si>
    <t>Extra informatie over het wijngebeuren:</t>
  </si>
  <si>
    <t>Blad 9</t>
  </si>
  <si>
    <t>Blad 10</t>
  </si>
  <si>
    <t>Blad 11</t>
  </si>
  <si>
    <t>Zie ook de bladzijden 9 t e m 11</t>
  </si>
  <si>
    <t>Zuur na aanpassingen met kalk, acidex:</t>
  </si>
  <si>
    <t>Actieve kool:(max 8 gr / 10 l)</t>
  </si>
  <si>
    <t>Actieve kool: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</si>
</sst>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0.0"/>
    <numFmt numFmtId="173" formatCode="dd\-mm\-yy"/>
    <numFmt numFmtId="174" formatCode="d\-mm\-yy"/>
  </numFmts>
  <fonts count="22">
    <font>
      <sz val="10"/>
      <name val="Arial"/>
      <family val="0"/>
    </font>
    <font>
      <sz val="8"/>
      <name val="Tahoma"/>
      <family val="0"/>
    </font>
    <font>
      <b/>
      <sz val="8"/>
      <name val="Tahoma"/>
      <family val="0"/>
    </font>
    <font>
      <b/>
      <u val="single"/>
      <sz val="18"/>
      <name val="Comic Sans MS"/>
      <family val="4"/>
    </font>
    <font>
      <b/>
      <sz val="10"/>
      <name val="Arial"/>
      <family val="2"/>
    </font>
    <font>
      <u val="single"/>
      <sz val="12"/>
      <name val="Copperplate"/>
      <family val="0"/>
    </font>
    <font>
      <u val="single"/>
      <sz val="10"/>
      <name val="Arial"/>
      <family val="0"/>
    </font>
    <font>
      <b/>
      <u val="single"/>
      <sz val="10"/>
      <name val="Arial"/>
      <family val="2"/>
    </font>
    <font>
      <sz val="10"/>
      <color indexed="10"/>
      <name val="Calligrapher"/>
      <family val="0"/>
    </font>
    <font>
      <b/>
      <sz val="10"/>
      <color indexed="10"/>
      <name val="Copperplate Gothic Light"/>
      <family val="2"/>
    </font>
    <font>
      <b/>
      <sz val="8"/>
      <color indexed="18"/>
      <name val="Comic Sans MS"/>
      <family val="4"/>
    </font>
    <font>
      <b/>
      <u val="single"/>
      <sz val="10"/>
      <color indexed="10"/>
      <name val="Arial"/>
      <family val="2"/>
    </font>
    <font>
      <i/>
      <sz val="10"/>
      <name val="Arial"/>
      <family val="2"/>
    </font>
    <font>
      <sz val="10"/>
      <color indexed="8"/>
      <name val="CopperDB"/>
      <family val="0"/>
    </font>
    <font>
      <u val="single"/>
      <sz val="10"/>
      <color indexed="8"/>
      <name val="CopperDB"/>
      <family val="0"/>
    </font>
    <font>
      <b/>
      <sz val="10"/>
      <name val="Copperplate Gothic Light"/>
      <family val="2"/>
    </font>
    <font>
      <b/>
      <sz val="10"/>
      <color indexed="19"/>
      <name val="Arial"/>
      <family val="2"/>
    </font>
    <font>
      <b/>
      <sz val="10"/>
      <color indexed="61"/>
      <name val="Arial"/>
      <family val="2"/>
    </font>
    <font>
      <b/>
      <sz val="8"/>
      <color indexed="10"/>
      <name val="Century Schoolbook"/>
      <family val="1"/>
    </font>
    <font>
      <sz val="10"/>
      <color indexed="14"/>
      <name val="Arial"/>
      <family val="2"/>
    </font>
    <font>
      <sz val="8"/>
      <name val="Arial"/>
      <family val="0"/>
    </font>
    <font>
      <b/>
      <sz val="8"/>
      <name val="Arial"/>
      <family val="2"/>
    </font>
  </fonts>
  <fills count="2">
    <fill>
      <patternFill/>
    </fill>
    <fill>
      <patternFill patternType="gray125"/>
    </fill>
  </fills>
  <borders count="16">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8" xfId="0" applyBorder="1" applyAlignment="1">
      <alignment/>
    </xf>
    <xf numFmtId="0" fontId="0" fillId="0" borderId="0" xfId="0" applyFont="1" applyAlignment="1">
      <alignment/>
    </xf>
    <xf numFmtId="172" fontId="0" fillId="0" borderId="0" xfId="0" applyNumberForma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1" fontId="0" fillId="0" borderId="0" xfId="0" applyNumberFormat="1" applyAlignment="1">
      <alignment/>
    </xf>
    <xf numFmtId="0" fontId="6" fillId="0" borderId="0" xfId="0" applyFont="1" applyAlignment="1">
      <alignment/>
    </xf>
    <xf numFmtId="0" fontId="0" fillId="0" borderId="0" xfId="0" applyAlignment="1">
      <alignment horizontal="center" vertical="justify" wrapText="1" shrinkToFit="1"/>
    </xf>
    <xf numFmtId="0" fontId="12" fillId="0" borderId="0" xfId="0" applyFont="1" applyAlignment="1">
      <alignment/>
    </xf>
    <xf numFmtId="172" fontId="0" fillId="0" borderId="0" xfId="0" applyNumberFormat="1" applyFont="1" applyAlignment="1">
      <alignment horizontal="center" vertical="center" wrapText="1" shrinkToFit="1"/>
    </xf>
    <xf numFmtId="0" fontId="0" fillId="0" borderId="0" xfId="0" applyAlignment="1">
      <alignment horizontal="center" vertical="center" wrapText="1" shrinkToFit="1"/>
    </xf>
    <xf numFmtId="0" fontId="0" fillId="0" borderId="0" xfId="0" applyAlignment="1">
      <alignment horizontal="center"/>
    </xf>
    <xf numFmtId="9" fontId="0" fillId="0" borderId="0" xfId="0" applyNumberFormat="1" applyAlignment="1">
      <alignment horizontal="center"/>
    </xf>
    <xf numFmtId="172" fontId="0" fillId="0" borderId="0" xfId="0" applyNumberFormat="1" applyAlignment="1">
      <alignment horizontal="center"/>
    </xf>
    <xf numFmtId="0" fontId="0" fillId="0" borderId="2" xfId="0" applyBorder="1" applyAlignment="1">
      <alignment horizontal="center"/>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horizontal="center"/>
    </xf>
    <xf numFmtId="9" fontId="0" fillId="0" borderId="0" xfId="0" applyNumberForma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0" fillId="0" borderId="14" xfId="0" applyBorder="1" applyAlignment="1">
      <alignment/>
    </xf>
    <xf numFmtId="0" fontId="0" fillId="0" borderId="13"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16" fillId="0" borderId="0" xfId="0" applyFont="1" applyAlignment="1">
      <alignment/>
    </xf>
    <xf numFmtId="0" fontId="17" fillId="0" borderId="0" xfId="0" applyFont="1" applyAlignment="1">
      <alignment/>
    </xf>
    <xf numFmtId="0" fontId="18" fillId="0" borderId="0" xfId="0" applyFont="1" applyAlignment="1">
      <alignment/>
    </xf>
    <xf numFmtId="14" fontId="0" fillId="0" borderId="0" xfId="0" applyNumberFormat="1" applyAlignment="1">
      <alignment/>
    </xf>
    <xf numFmtId="0" fontId="19" fillId="0" borderId="0" xfId="0" applyFont="1" applyAlignment="1">
      <alignment/>
    </xf>
    <xf numFmtId="0" fontId="0" fillId="0" borderId="2" xfId="0" applyBorder="1" applyAlignment="1">
      <alignment horizontal="center" vertical="center" wrapText="1" shrinkToFit="1"/>
    </xf>
    <xf numFmtId="0" fontId="0" fillId="0" borderId="1" xfId="0" applyBorder="1" applyAlignment="1">
      <alignment horizontal="center"/>
    </xf>
    <xf numFmtId="1" fontId="0" fillId="0" borderId="0" xfId="0" applyNumberFormat="1" applyAlignment="1">
      <alignment horizontal="center"/>
    </xf>
    <xf numFmtId="2" fontId="0" fillId="0" borderId="0" xfId="0" applyNumberFormat="1" applyAlignment="1">
      <alignment horizontal="center"/>
    </xf>
    <xf numFmtId="0" fontId="0" fillId="0" borderId="15" xfId="0" applyBorder="1" applyAlignment="1">
      <alignment horizontal="center"/>
    </xf>
    <xf numFmtId="1" fontId="0" fillId="0" borderId="15" xfId="0" applyNumberFormat="1" applyBorder="1" applyAlignment="1">
      <alignment horizontal="center"/>
    </xf>
    <xf numFmtId="14" fontId="0" fillId="0" borderId="0" xfId="0" applyNumberFormat="1" applyAlignment="1">
      <alignment horizontal="center"/>
    </xf>
    <xf numFmtId="20" fontId="0" fillId="0" borderId="0" xfId="0" applyNumberFormat="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172" fontId="0" fillId="0" borderId="1" xfId="0" applyNumberForma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172" fontId="0" fillId="0" borderId="13" xfId="0" applyNumberFormat="1" applyBorder="1" applyAlignment="1">
      <alignment horizontal="center"/>
    </xf>
    <xf numFmtId="0" fontId="0" fillId="0" borderId="8" xfId="0" applyBorder="1" applyAlignment="1">
      <alignment horizontal="center"/>
    </xf>
    <xf numFmtId="172" fontId="0" fillId="0" borderId="10" xfId="0" applyNumberFormat="1" applyBorder="1" applyAlignment="1">
      <alignment horizontal="center"/>
    </xf>
    <xf numFmtId="0" fontId="0" fillId="0" borderId="15" xfId="0" applyBorder="1" applyAlignment="1">
      <alignment horizontal="center" vertical="center" wrapText="1" shrinkToFit="1"/>
    </xf>
    <xf numFmtId="14" fontId="19" fillId="0" borderId="0" xfId="0" applyNumberFormat="1" applyFont="1" applyAlignment="1">
      <alignment horizontal="center"/>
    </xf>
    <xf numFmtId="0" fontId="19" fillId="0" borderId="0" xfId="0" applyFont="1" applyAlignment="1">
      <alignment horizontal="center"/>
    </xf>
    <xf numFmtId="20" fontId="19" fillId="0" borderId="0" xfId="0" applyNumberFormat="1" applyFont="1" applyAlignment="1">
      <alignment horizontal="center"/>
    </xf>
    <xf numFmtId="1" fontId="19" fillId="0" borderId="0" xfId="0" applyNumberFormat="1" applyFont="1" applyAlignment="1">
      <alignment horizontal="center"/>
    </xf>
    <xf numFmtId="14" fontId="19" fillId="0" borderId="7" xfId="0" applyNumberFormat="1" applyFont="1" applyBorder="1" applyAlignment="1">
      <alignment horizontal="center"/>
    </xf>
    <xf numFmtId="14" fontId="19" fillId="0" borderId="9" xfId="0" applyNumberFormat="1" applyFont="1" applyBorder="1" applyAlignment="1">
      <alignment horizontal="center"/>
    </xf>
    <xf numFmtId="14" fontId="19" fillId="0" borderId="8" xfId="0" applyNumberFormat="1" applyFont="1" applyBorder="1" applyAlignment="1">
      <alignment horizontal="center"/>
    </xf>
    <xf numFmtId="0" fontId="19" fillId="0" borderId="3" xfId="0" applyFont="1" applyBorder="1" applyAlignment="1">
      <alignment horizontal="center"/>
    </xf>
    <xf numFmtId="0" fontId="19" fillId="0" borderId="9" xfId="0" applyFont="1" applyBorder="1" applyAlignment="1">
      <alignment horizontal="center"/>
    </xf>
    <xf numFmtId="0" fontId="19" fillId="0" borderId="7" xfId="0" applyFont="1" applyBorder="1" applyAlignment="1">
      <alignment horizontal="center"/>
    </xf>
    <xf numFmtId="0" fontId="19" fillId="0" borderId="8" xfId="0" applyFont="1" applyBorder="1" applyAlignment="1">
      <alignment horizontal="center"/>
    </xf>
    <xf numFmtId="0" fontId="19" fillId="0" borderId="4" xfId="0" applyFont="1" applyBorder="1" applyAlignment="1">
      <alignment horizontal="center"/>
    </xf>
    <xf numFmtId="0" fontId="19" fillId="0" borderId="6" xfId="0" applyFont="1" applyBorder="1" applyAlignment="1">
      <alignment horizontal="center"/>
    </xf>
    <xf numFmtId="0" fontId="19" fillId="0" borderId="5" xfId="0" applyFont="1" applyBorder="1" applyAlignment="1">
      <alignment horizontal="center"/>
    </xf>
    <xf numFmtId="14" fontId="0" fillId="0" borderId="9" xfId="0" applyNumberFormat="1" applyBorder="1" applyAlignment="1">
      <alignment horizontal="center"/>
    </xf>
    <xf numFmtId="14" fontId="0" fillId="0" borderId="15" xfId="0" applyNumberFormat="1" applyBorder="1" applyAlignment="1">
      <alignment horizontal="center"/>
    </xf>
    <xf numFmtId="172" fontId="0" fillId="0" borderId="15" xfId="0" applyNumberFormat="1" applyBorder="1" applyAlignment="1">
      <alignment horizontal="center"/>
    </xf>
    <xf numFmtId="0" fontId="4" fillId="0" borderId="13"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0" fillId="0" borderId="0" xfId="0" applyAlignment="1">
      <alignment horizontal="center" vertical="center"/>
    </xf>
    <xf numFmtId="0" fontId="0" fillId="0" borderId="0" xfId="0" applyAlignment="1">
      <alignment horizontal="center"/>
    </xf>
    <xf numFmtId="9" fontId="0" fillId="0" borderId="0" xfId="0" applyNumberFormat="1" applyAlignment="1">
      <alignment horizontal="center" vertical="center"/>
    </xf>
    <xf numFmtId="0" fontId="0" fillId="0" borderId="1" xfId="0" applyBorder="1" applyAlignment="1">
      <alignment horizontal="center" vertical="center" wrapText="1" shrinkToFit="1"/>
    </xf>
    <xf numFmtId="0" fontId="0" fillId="0" borderId="2" xfId="0" applyBorder="1" applyAlignment="1">
      <alignment horizontal="center" vertical="center" wrapText="1" shrinkToFit="1"/>
    </xf>
    <xf numFmtId="0" fontId="3" fillId="0" borderId="0" xfId="0" applyFont="1" applyAlignment="1">
      <alignment horizontal="center"/>
    </xf>
    <xf numFmtId="0" fontId="15" fillId="0" borderId="1" xfId="0" applyFont="1" applyBorder="1" applyAlignment="1">
      <alignment horizontal="center"/>
    </xf>
    <xf numFmtId="0" fontId="15" fillId="0" borderId="14" xfId="0" applyFont="1" applyBorder="1" applyAlignment="1">
      <alignment horizontal="center"/>
    </xf>
    <xf numFmtId="0" fontId="15" fillId="0" borderId="2" xfId="0" applyFont="1" applyBorder="1" applyAlignment="1">
      <alignment horizontal="center"/>
    </xf>
    <xf numFmtId="0" fontId="0" fillId="0" borderId="0" xfId="0" applyAlignment="1">
      <alignment horizontal="center" vertical="center" wrapText="1" shrinkToFit="1"/>
    </xf>
    <xf numFmtId="0" fontId="4" fillId="0" borderId="1" xfId="0" applyFont="1" applyBorder="1" applyAlignment="1">
      <alignment horizontal="center"/>
    </xf>
    <xf numFmtId="0" fontId="4" fillId="0" borderId="14" xfId="0" applyFont="1" applyBorder="1" applyAlignment="1">
      <alignment horizontal="center"/>
    </xf>
    <xf numFmtId="0" fontId="4" fillId="0" borderId="2" xfId="0" applyFont="1" applyBorder="1" applyAlignment="1">
      <alignment horizontal="center"/>
    </xf>
    <xf numFmtId="172" fontId="0" fillId="0" borderId="0" xfId="0" applyNumberFormat="1" applyAlignment="1">
      <alignment horizontal="center" vertical="center" wrapText="1" shrinkToFit="1"/>
    </xf>
    <xf numFmtId="0" fontId="0" fillId="0" borderId="1" xfId="0"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4" fillId="0" borderId="10" xfId="0" applyFont="1" applyBorder="1" applyAlignment="1">
      <alignment horizontal="center" vertical="center" wrapText="1" shrinkToFit="1"/>
    </xf>
    <xf numFmtId="0" fontId="0" fillId="0" borderId="12"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5" xfId="0" applyFont="1" applyBorder="1" applyAlignment="1">
      <alignment horizontal="center" vertical="center" wrapText="1" shrinkToFit="1"/>
    </xf>
    <xf numFmtId="49" fontId="0" fillId="0" borderId="0" xfId="0" applyNumberFormat="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14</xdr:row>
      <xdr:rowOff>28575</xdr:rowOff>
    </xdr:from>
    <xdr:to>
      <xdr:col>8</xdr:col>
      <xdr:colOff>95250</xdr:colOff>
      <xdr:row>25</xdr:row>
      <xdr:rowOff>114300</xdr:rowOff>
    </xdr:to>
    <xdr:sp>
      <xdr:nvSpPr>
        <xdr:cNvPr id="1" name="AutoShape 1"/>
        <xdr:cNvSpPr>
          <a:spLocks/>
        </xdr:cNvSpPr>
      </xdr:nvSpPr>
      <xdr:spPr>
        <a:xfrm>
          <a:off x="276225" y="2295525"/>
          <a:ext cx="4695825" cy="1866900"/>
        </a:xfrm>
        <a:prstGeom prst="rect"/>
        <a:noFill/>
      </xdr:spPr>
      <xdr:txBody>
        <a:bodyPr fromWordArt="1" wrap="none">
          <a:prstTxWarp prst="textSlantUp"/>
        </a:bodyPr>
        <a:p>
          <a:pPr algn="ctr"/>
          <a:r>
            <a:rPr sz="5400" kern="10" spc="0">
              <a:ln w="9525" cmpd="sng">
                <a:solidFill>
                  <a:srgbClr val="000000"/>
                </a:solidFill>
                <a:headEnd type="none"/>
                <a:tailEnd type="none"/>
              </a:ln>
              <a:solidFill>
                <a:srgbClr val="000000"/>
              </a:solidFill>
              <a:latin typeface="Brombeer Engraved DB"/>
              <a:cs typeface="Brombeer Engraved DB"/>
            </a:rPr>
            <a:t>Andere vruchten wijn</a:t>
          </a:r>
        </a:p>
      </xdr:txBody>
    </xdr:sp>
    <xdr:clientData/>
  </xdr:twoCellAnchor>
  <xdr:oneCellAnchor>
    <xdr:from>
      <xdr:col>2</xdr:col>
      <xdr:colOff>485775</xdr:colOff>
      <xdr:row>1</xdr:row>
      <xdr:rowOff>104775</xdr:rowOff>
    </xdr:from>
    <xdr:ext cx="2047875" cy="723900"/>
    <xdr:sp>
      <xdr:nvSpPr>
        <xdr:cNvPr id="2" name="AutoShape 5"/>
        <xdr:cNvSpPr>
          <a:spLocks/>
        </xdr:cNvSpPr>
      </xdr:nvSpPr>
      <xdr:spPr>
        <a:xfrm>
          <a:off x="1704975" y="266700"/>
          <a:ext cx="2047875" cy="723900"/>
        </a:xfrm>
        <a:prstGeom prst="cloudCallout">
          <a:avLst>
            <a:gd name="adj1" fmla="val -70930"/>
            <a:gd name="adj2" fmla="val 9079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rPr>
            <a:t>Klik eens op de rode driehoekjes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260</xdr:row>
      <xdr:rowOff>0</xdr:rowOff>
    </xdr:from>
    <xdr:to>
      <xdr:col>4</xdr:col>
      <xdr:colOff>0</xdr:colOff>
      <xdr:row>260</xdr:row>
      <xdr:rowOff>152400</xdr:rowOff>
    </xdr:to>
    <xdr:sp>
      <xdr:nvSpPr>
        <xdr:cNvPr id="1" name="Line 3"/>
        <xdr:cNvSpPr>
          <a:spLocks/>
        </xdr:cNvSpPr>
      </xdr:nvSpPr>
      <xdr:spPr>
        <a:xfrm flipV="1">
          <a:off x="1952625" y="42395775"/>
          <a:ext cx="62865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257</xdr:row>
      <xdr:rowOff>152400</xdr:rowOff>
    </xdr:from>
    <xdr:to>
      <xdr:col>4</xdr:col>
      <xdr:colOff>0</xdr:colOff>
      <xdr:row>259</xdr:row>
      <xdr:rowOff>0</xdr:rowOff>
    </xdr:to>
    <xdr:sp>
      <xdr:nvSpPr>
        <xdr:cNvPr id="2" name="Line 4"/>
        <xdr:cNvSpPr>
          <a:spLocks/>
        </xdr:cNvSpPr>
      </xdr:nvSpPr>
      <xdr:spPr>
        <a:xfrm>
          <a:off x="1952625" y="42062400"/>
          <a:ext cx="6286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258</xdr:row>
      <xdr:rowOff>9525</xdr:rowOff>
    </xdr:from>
    <xdr:to>
      <xdr:col>6</xdr:col>
      <xdr:colOff>0</xdr:colOff>
      <xdr:row>259</xdr:row>
      <xdr:rowOff>0</xdr:rowOff>
    </xdr:to>
    <xdr:sp>
      <xdr:nvSpPr>
        <xdr:cNvPr id="3" name="Line 5"/>
        <xdr:cNvSpPr>
          <a:spLocks/>
        </xdr:cNvSpPr>
      </xdr:nvSpPr>
      <xdr:spPr>
        <a:xfrm flipH="1">
          <a:off x="3209925" y="42081450"/>
          <a:ext cx="7143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260</xdr:row>
      <xdr:rowOff>0</xdr:rowOff>
    </xdr:from>
    <xdr:to>
      <xdr:col>6</xdr:col>
      <xdr:colOff>0</xdr:colOff>
      <xdr:row>261</xdr:row>
      <xdr:rowOff>0</xdr:rowOff>
    </xdr:to>
    <xdr:sp>
      <xdr:nvSpPr>
        <xdr:cNvPr id="4" name="Line 6"/>
        <xdr:cNvSpPr>
          <a:spLocks/>
        </xdr:cNvSpPr>
      </xdr:nvSpPr>
      <xdr:spPr>
        <a:xfrm flipH="1" flipV="1">
          <a:off x="3209925" y="42395775"/>
          <a:ext cx="7143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8:A35"/>
  <sheetViews>
    <sheetView tabSelected="1" workbookViewId="0" topLeftCell="A10">
      <selection activeCell="H24" sqref="H24"/>
    </sheetView>
  </sheetViews>
  <sheetFormatPr defaultColWidth="9.140625" defaultRowHeight="12.75"/>
  <sheetData>
    <row r="9" ht="12.75"/>
    <row r="10" ht="12.75"/>
    <row r="28" ht="12.75">
      <c r="A28" s="1" t="s">
        <v>387</v>
      </c>
    </row>
    <row r="29" ht="12.75">
      <c r="A29" t="s">
        <v>388</v>
      </c>
    </row>
    <row r="30" ht="12.75">
      <c r="A30" s="1" t="s">
        <v>213</v>
      </c>
    </row>
    <row r="31" ht="12.75">
      <c r="A31" s="1" t="s">
        <v>214</v>
      </c>
    </row>
    <row r="32" ht="12.75">
      <c r="A32" s="1" t="s">
        <v>216</v>
      </c>
    </row>
    <row r="33" ht="12.75">
      <c r="A33" t="s">
        <v>215</v>
      </c>
    </row>
    <row r="34" ht="12.75">
      <c r="A34" s="1" t="s">
        <v>217</v>
      </c>
    </row>
    <row r="35" ht="12.75">
      <c r="A35" t="s">
        <v>218</v>
      </c>
    </row>
  </sheetData>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266"/>
  <sheetViews>
    <sheetView showZeros="0" workbookViewId="0" topLeftCell="A1">
      <selection activeCell="F95" sqref="F95"/>
    </sheetView>
  </sheetViews>
  <sheetFormatPr defaultColWidth="9.140625" defaultRowHeight="12.75"/>
  <cols>
    <col min="4" max="4" width="9.421875" style="0" bestFit="1" customWidth="1"/>
    <col min="6" max="6" width="9.421875" style="0" bestFit="1" customWidth="1"/>
  </cols>
  <sheetData>
    <row r="1" spans="1:9" ht="29.25">
      <c r="A1" s="96" t="s">
        <v>1</v>
      </c>
      <c r="B1" s="96"/>
      <c r="C1" s="96"/>
      <c r="D1" s="96"/>
      <c r="E1" s="96"/>
      <c r="F1" s="96"/>
      <c r="G1" s="96"/>
      <c r="H1" s="96"/>
      <c r="I1" t="s">
        <v>0</v>
      </c>
    </row>
    <row r="3" spans="1:9" ht="12.75">
      <c r="A3" s="1" t="s">
        <v>2</v>
      </c>
      <c r="C3" s="53"/>
      <c r="H3" s="1" t="s">
        <v>3</v>
      </c>
      <c r="I3" s="73"/>
    </row>
    <row r="5" spans="1:2" ht="12.75">
      <c r="A5" s="1" t="s">
        <v>4</v>
      </c>
      <c r="B5" s="72"/>
    </row>
    <row r="7" spans="1:4" ht="15">
      <c r="A7" s="2" t="s">
        <v>5</v>
      </c>
      <c r="B7" s="3"/>
      <c r="C7" s="3"/>
      <c r="D7" s="3"/>
    </row>
    <row r="9" spans="1:5" ht="12.75">
      <c r="A9" s="1" t="s">
        <v>6</v>
      </c>
      <c r="D9" s="73"/>
      <c r="E9" t="s">
        <v>7</v>
      </c>
    </row>
    <row r="10" spans="4:7" ht="12.75">
      <c r="D10" s="73"/>
      <c r="E10" t="s">
        <v>8</v>
      </c>
      <c r="F10" s="1" t="s">
        <v>9</v>
      </c>
      <c r="G10" s="53"/>
    </row>
    <row r="11" spans="1:7" ht="12.75">
      <c r="A11" t="s">
        <v>11</v>
      </c>
      <c r="F11" s="1" t="s">
        <v>10</v>
      </c>
      <c r="G11" s="73"/>
    </row>
    <row r="12" ht="12.75">
      <c r="A12" t="s">
        <v>12</v>
      </c>
    </row>
    <row r="14" spans="1:5" ht="12.75">
      <c r="A14" s="1" t="s">
        <v>13</v>
      </c>
      <c r="D14" s="73"/>
      <c r="E14" t="s">
        <v>7</v>
      </c>
    </row>
    <row r="15" spans="4:7" ht="12.75">
      <c r="D15" s="73"/>
      <c r="E15" t="s">
        <v>8</v>
      </c>
      <c r="F15" s="1" t="s">
        <v>9</v>
      </c>
      <c r="G15" s="53"/>
    </row>
    <row r="16" spans="6:7" ht="12.75">
      <c r="F16" s="1" t="s">
        <v>10</v>
      </c>
      <c r="G16" s="73">
        <v>0</v>
      </c>
    </row>
    <row r="18" spans="1:7" ht="12.75">
      <c r="A18" s="1" t="s">
        <v>14</v>
      </c>
      <c r="C18" s="38" t="s">
        <v>15</v>
      </c>
      <c r="F18" s="73"/>
      <c r="G18" t="s">
        <v>16</v>
      </c>
    </row>
    <row r="19" spans="3:7" ht="12.75">
      <c r="C19" t="s">
        <v>19</v>
      </c>
      <c r="F19" s="73">
        <f>IF(F18=0,0,IF(G11=0,0,IF(G11=1,VLOOKUP(F18,'Opzoekings tabellen'!A3:E143,2),IF(G11=2,VLOOKUP(F18,'Opzoekings tabellen'!A3:E143,3)))))</f>
        <v>0</v>
      </c>
      <c r="G19" t="s">
        <v>20</v>
      </c>
    </row>
    <row r="20" spans="3:7" ht="12.75">
      <c r="C20" s="38" t="s">
        <v>17</v>
      </c>
      <c r="F20" s="73"/>
      <c r="G20" t="s">
        <v>18</v>
      </c>
    </row>
    <row r="22" spans="1:6" ht="12.75">
      <c r="A22" s="1" t="s">
        <v>21</v>
      </c>
      <c r="E22" s="74"/>
      <c r="F22" t="s">
        <v>22</v>
      </c>
    </row>
    <row r="24" spans="1:6" ht="12.75">
      <c r="A24" s="1" t="s">
        <v>23</v>
      </c>
      <c r="E24" s="74"/>
      <c r="F24" t="s">
        <v>22</v>
      </c>
    </row>
    <row r="26" spans="1:6" ht="12.75">
      <c r="A26" s="1" t="s">
        <v>24</v>
      </c>
      <c r="E26" s="73"/>
      <c r="F26" t="s">
        <v>25</v>
      </c>
    </row>
    <row r="28" spans="1:6" ht="12.75">
      <c r="A28" s="1" t="s">
        <v>26</v>
      </c>
      <c r="B28" s="53"/>
      <c r="E28" s="1" t="s">
        <v>9</v>
      </c>
      <c r="F28" s="53"/>
    </row>
    <row r="29" spans="1:7" ht="12.75">
      <c r="A29" s="1" t="s">
        <v>27</v>
      </c>
      <c r="D29" s="73"/>
      <c r="E29" s="1" t="s">
        <v>28</v>
      </c>
      <c r="F29" s="73"/>
      <c r="G29" t="s">
        <v>29</v>
      </c>
    </row>
    <row r="31" ht="12.75">
      <c r="A31" s="38" t="s">
        <v>66</v>
      </c>
    </row>
    <row r="33" spans="1:7" ht="12.75">
      <c r="A33" s="1" t="s">
        <v>31</v>
      </c>
      <c r="C33" s="73"/>
      <c r="D33" t="s">
        <v>29</v>
      </c>
      <c r="E33" s="1" t="s">
        <v>32</v>
      </c>
      <c r="F33" s="73"/>
      <c r="G33" t="s">
        <v>29</v>
      </c>
    </row>
    <row r="35" spans="1:8" ht="12.75">
      <c r="A35" t="s">
        <v>33</v>
      </c>
      <c r="C35" s="73"/>
      <c r="D35" t="s">
        <v>29</v>
      </c>
      <c r="E35" t="s">
        <v>36</v>
      </c>
      <c r="G35" s="73"/>
      <c r="H35" t="s">
        <v>29</v>
      </c>
    </row>
    <row r="36" spans="1:8" ht="12.75">
      <c r="A36" t="s">
        <v>34</v>
      </c>
      <c r="C36" s="73"/>
      <c r="D36" t="s">
        <v>29</v>
      </c>
      <c r="E36" t="s">
        <v>37</v>
      </c>
      <c r="G36" s="73"/>
      <c r="H36" t="s">
        <v>29</v>
      </c>
    </row>
    <row r="37" spans="1:4" ht="12.75">
      <c r="A37" t="s">
        <v>35</v>
      </c>
      <c r="C37" s="73"/>
      <c r="D37" t="s">
        <v>29</v>
      </c>
    </row>
    <row r="39" ht="15">
      <c r="A39" s="2" t="s">
        <v>45</v>
      </c>
    </row>
    <row r="42" spans="1:8" ht="12.75">
      <c r="A42" s="38" t="s">
        <v>38</v>
      </c>
      <c r="F42" s="1" t="s">
        <v>39</v>
      </c>
      <c r="H42" s="72"/>
    </row>
    <row r="44" spans="1:8" ht="12.75">
      <c r="A44">
        <v>1</v>
      </c>
      <c r="B44" s="53"/>
      <c r="E44" s="73"/>
      <c r="F44" t="s">
        <v>41</v>
      </c>
      <c r="G44" s="73"/>
      <c r="H44" t="s">
        <v>40</v>
      </c>
    </row>
    <row r="45" spans="1:8" ht="12.75">
      <c r="A45">
        <v>2</v>
      </c>
      <c r="B45" s="53"/>
      <c r="E45" s="73"/>
      <c r="F45" t="s">
        <v>41</v>
      </c>
      <c r="G45" s="73"/>
      <c r="H45" t="s">
        <v>40</v>
      </c>
    </row>
    <row r="46" spans="1:8" ht="12.75">
      <c r="A46">
        <v>3</v>
      </c>
      <c r="B46" s="53"/>
      <c r="E46" s="73"/>
      <c r="F46" t="s">
        <v>41</v>
      </c>
      <c r="G46" s="73"/>
      <c r="H46" t="s">
        <v>40</v>
      </c>
    </row>
    <row r="47" spans="1:8" ht="12.75">
      <c r="A47">
        <v>4</v>
      </c>
      <c r="B47" s="53"/>
      <c r="E47" s="73"/>
      <c r="F47" t="s">
        <v>41</v>
      </c>
      <c r="G47" s="73"/>
      <c r="H47" t="s">
        <v>40</v>
      </c>
    </row>
    <row r="48" spans="1:8" ht="12.75">
      <c r="A48">
        <v>5</v>
      </c>
      <c r="B48" s="53"/>
      <c r="E48" s="73"/>
      <c r="F48" t="s">
        <v>41</v>
      </c>
      <c r="G48" s="73"/>
      <c r="H48" t="s">
        <v>40</v>
      </c>
    </row>
    <row r="49" spans="1:8" ht="12.75">
      <c r="A49">
        <v>6</v>
      </c>
      <c r="B49" s="53"/>
      <c r="E49" s="73"/>
      <c r="F49" t="s">
        <v>41</v>
      </c>
      <c r="G49" s="73"/>
      <c r="H49" t="s">
        <v>40</v>
      </c>
    </row>
    <row r="50" spans="1:8" ht="12.75">
      <c r="A50">
        <v>7</v>
      </c>
      <c r="B50" s="53"/>
      <c r="E50" s="73"/>
      <c r="F50" t="s">
        <v>41</v>
      </c>
      <c r="G50" s="73"/>
      <c r="H50" t="s">
        <v>40</v>
      </c>
    </row>
    <row r="55" ht="12.75">
      <c r="I55" t="s">
        <v>30</v>
      </c>
    </row>
    <row r="56" ht="12.75">
      <c r="A56" s="1" t="s">
        <v>42</v>
      </c>
    </row>
    <row r="57" spans="1:6" ht="12.75">
      <c r="A57">
        <v>1</v>
      </c>
      <c r="B57" t="s">
        <v>15</v>
      </c>
      <c r="D57" s="73"/>
      <c r="E57" t="s">
        <v>17</v>
      </c>
      <c r="F57" s="73"/>
    </row>
    <row r="58" spans="1:6" ht="12.75">
      <c r="A58">
        <v>2</v>
      </c>
      <c r="B58" t="s">
        <v>15</v>
      </c>
      <c r="D58" s="73"/>
      <c r="E58" t="s">
        <v>17</v>
      </c>
      <c r="F58" s="73"/>
    </row>
    <row r="59" spans="1:6" ht="12.75">
      <c r="A59">
        <v>3</v>
      </c>
      <c r="B59" t="s">
        <v>15</v>
      </c>
      <c r="D59" s="73"/>
      <c r="E59" t="s">
        <v>17</v>
      </c>
      <c r="F59" s="73"/>
    </row>
    <row r="60" spans="1:6" ht="12.75">
      <c r="A60">
        <v>4</v>
      </c>
      <c r="B60" t="s">
        <v>15</v>
      </c>
      <c r="D60" s="73"/>
      <c r="E60" t="s">
        <v>17</v>
      </c>
      <c r="F60" s="73"/>
    </row>
    <row r="61" spans="1:6" ht="12.75">
      <c r="A61">
        <v>5</v>
      </c>
      <c r="B61" t="s">
        <v>15</v>
      </c>
      <c r="D61" s="73"/>
      <c r="E61" t="s">
        <v>17</v>
      </c>
      <c r="F61" s="73"/>
    </row>
    <row r="62" spans="1:6" ht="12.75">
      <c r="A62">
        <v>6</v>
      </c>
      <c r="B62" t="s">
        <v>15</v>
      </c>
      <c r="D62" s="73"/>
      <c r="E62" t="s">
        <v>17</v>
      </c>
      <c r="F62" s="73"/>
    </row>
    <row r="63" spans="1:6" ht="12.75">
      <c r="A63">
        <v>7</v>
      </c>
      <c r="B63" t="s">
        <v>15</v>
      </c>
      <c r="D63" s="73"/>
      <c r="E63" t="s">
        <v>17</v>
      </c>
      <c r="F63" s="73"/>
    </row>
    <row r="65" ht="12.75">
      <c r="A65" s="38" t="s">
        <v>49</v>
      </c>
    </row>
    <row r="67" spans="1:9" ht="12.75">
      <c r="A67" t="s">
        <v>50</v>
      </c>
      <c r="D67" s="73"/>
      <c r="E67" t="s">
        <v>29</v>
      </c>
      <c r="H67" t="s">
        <v>4</v>
      </c>
      <c r="I67" s="72"/>
    </row>
    <row r="68" spans="1:9" ht="12.75">
      <c r="A68" t="s">
        <v>51</v>
      </c>
      <c r="D68" s="73"/>
      <c r="E68" t="s">
        <v>29</v>
      </c>
      <c r="H68" t="s">
        <v>4</v>
      </c>
      <c r="I68" s="72"/>
    </row>
    <row r="69" spans="1:9" ht="12.75">
      <c r="A69" t="s">
        <v>31</v>
      </c>
      <c r="D69" s="73"/>
      <c r="E69" t="s">
        <v>29</v>
      </c>
      <c r="H69" t="s">
        <v>4</v>
      </c>
      <c r="I69" s="72"/>
    </row>
    <row r="70" spans="1:9" ht="12.75">
      <c r="A70" t="s">
        <v>52</v>
      </c>
      <c r="D70" s="73"/>
      <c r="E70" t="s">
        <v>67</v>
      </c>
      <c r="H70" t="s">
        <v>4</v>
      </c>
      <c r="I70" s="72"/>
    </row>
    <row r="71" spans="1:6" ht="12.75">
      <c r="A71" t="s">
        <v>9</v>
      </c>
      <c r="B71" s="53"/>
      <c r="E71" t="s">
        <v>10</v>
      </c>
      <c r="F71" s="53"/>
    </row>
    <row r="72" spans="1:9" ht="12.75">
      <c r="A72" t="s">
        <v>53</v>
      </c>
      <c r="D72" s="73"/>
      <c r="E72" t="s">
        <v>29</v>
      </c>
      <c r="H72" t="s">
        <v>4</v>
      </c>
      <c r="I72" s="72"/>
    </row>
    <row r="73" spans="1:9" ht="12.75">
      <c r="A73" t="s">
        <v>54</v>
      </c>
      <c r="D73" s="73"/>
      <c r="E73" t="s">
        <v>29</v>
      </c>
      <c r="H73" t="s">
        <v>4</v>
      </c>
      <c r="I73" s="72"/>
    </row>
    <row r="74" spans="1:9" ht="12.75">
      <c r="A74" t="s">
        <v>59</v>
      </c>
      <c r="D74" s="73"/>
      <c r="E74" t="s">
        <v>29</v>
      </c>
      <c r="H74" t="s">
        <v>4</v>
      </c>
      <c r="I74" s="72"/>
    </row>
    <row r="75" spans="1:9" ht="12.75">
      <c r="A75" t="s">
        <v>425</v>
      </c>
      <c r="D75" s="73"/>
      <c r="E75" t="s">
        <v>29</v>
      </c>
      <c r="H75" t="s">
        <v>4</v>
      </c>
      <c r="I75" s="72"/>
    </row>
    <row r="77" ht="15">
      <c r="A77" s="2" t="s">
        <v>65</v>
      </c>
    </row>
    <row r="79" spans="1:8" ht="12.75">
      <c r="A79" s="1" t="s">
        <v>72</v>
      </c>
      <c r="D79" s="26"/>
      <c r="G79" s="73"/>
      <c r="H79" t="s">
        <v>16</v>
      </c>
    </row>
    <row r="80" spans="1:5" ht="12.75">
      <c r="A80" t="s">
        <v>19</v>
      </c>
      <c r="D80" s="73">
        <f>IF(G79=0,0,VLOOKUP(G79,'Opzoekings tabellen'!A3:E143,5))</f>
        <v>0</v>
      </c>
      <c r="E80" t="s">
        <v>20</v>
      </c>
    </row>
    <row r="82" spans="1:4" ht="12.75">
      <c r="A82" s="1" t="s">
        <v>43</v>
      </c>
      <c r="B82" s="1"/>
      <c r="C82" s="73"/>
      <c r="D82" t="s">
        <v>18</v>
      </c>
    </row>
    <row r="84" spans="1:4" ht="12.75">
      <c r="A84" s="1" t="s">
        <v>44</v>
      </c>
      <c r="B84" s="1"/>
      <c r="C84" s="73"/>
      <c r="D84" t="s">
        <v>18</v>
      </c>
    </row>
    <row r="86" spans="1:5" ht="12.75">
      <c r="A86" s="1" t="s">
        <v>46</v>
      </c>
      <c r="D86" s="73"/>
      <c r="E86" t="s">
        <v>47</v>
      </c>
    </row>
    <row r="88" spans="1:5" ht="12.75">
      <c r="A88" s="1" t="s">
        <v>233</v>
      </c>
      <c r="B88" s="1"/>
      <c r="D88" s="73"/>
      <c r="E88" t="s">
        <v>40</v>
      </c>
    </row>
    <row r="90" spans="1:6" ht="12.75">
      <c r="A90" s="1" t="s">
        <v>48</v>
      </c>
      <c r="E90" s="73"/>
      <c r="F90" t="s">
        <v>40</v>
      </c>
    </row>
    <row r="92" ht="12.75">
      <c r="A92" s="39" t="s">
        <v>76</v>
      </c>
    </row>
    <row r="94" spans="1:2" ht="12.75">
      <c r="A94" s="38" t="s">
        <v>73</v>
      </c>
      <c r="B94" s="3"/>
    </row>
    <row r="96" ht="12.75">
      <c r="A96" s="4" t="s">
        <v>74</v>
      </c>
    </row>
    <row r="98" spans="1:9" ht="12.75">
      <c r="A98" t="s">
        <v>68</v>
      </c>
      <c r="D98" s="73">
        <v>0</v>
      </c>
      <c r="E98" t="s">
        <v>40</v>
      </c>
      <c r="H98" t="s">
        <v>4</v>
      </c>
      <c r="I98" s="72"/>
    </row>
    <row r="99" spans="1:5" ht="12.75">
      <c r="A99" t="s">
        <v>69</v>
      </c>
      <c r="D99" s="73">
        <v>0</v>
      </c>
      <c r="E99" t="s">
        <v>16</v>
      </c>
    </row>
    <row r="100" spans="1:5" ht="12.75">
      <c r="A100" t="s">
        <v>19</v>
      </c>
      <c r="D100" s="73">
        <v>0</v>
      </c>
      <c r="E100" t="s">
        <v>18</v>
      </c>
    </row>
    <row r="101" spans="1:9" ht="12.75">
      <c r="A101" t="s">
        <v>70</v>
      </c>
      <c r="D101" s="75">
        <v>0.001</v>
      </c>
      <c r="E101" t="s">
        <v>18</v>
      </c>
      <c r="I101" s="53"/>
    </row>
    <row r="103" ht="12.75">
      <c r="A103" s="4" t="s">
        <v>75</v>
      </c>
    </row>
    <row r="105" spans="1:9" ht="12.75">
      <c r="A105" t="s">
        <v>55</v>
      </c>
      <c r="D105" s="73">
        <v>0</v>
      </c>
      <c r="E105" t="s">
        <v>40</v>
      </c>
      <c r="H105" t="s">
        <v>4</v>
      </c>
      <c r="I105" s="72"/>
    </row>
    <row r="106" spans="1:7" ht="12.75">
      <c r="A106" t="s">
        <v>56</v>
      </c>
      <c r="D106" s="73">
        <v>0</v>
      </c>
      <c r="E106" t="s">
        <v>16</v>
      </c>
      <c r="G106" t="s">
        <v>11</v>
      </c>
    </row>
    <row r="107" spans="1:7" ht="12.75">
      <c r="A107" t="s">
        <v>19</v>
      </c>
      <c r="D107" s="73">
        <f>IF(D106=0,0,IF(F109=1,VLOOKUP(D106,'Opzoekings tabellen'!A3:E143,2),IF(F109=2,VLOOKUP(D106,'Opzoekings tabellen'!A3:E143,3))))</f>
        <v>0</v>
      </c>
      <c r="E107" t="s">
        <v>18</v>
      </c>
      <c r="G107" t="s">
        <v>12</v>
      </c>
    </row>
    <row r="108" spans="1:5" ht="12.75">
      <c r="A108" t="s">
        <v>57</v>
      </c>
      <c r="D108" s="75">
        <v>0.001</v>
      </c>
      <c r="E108" t="s">
        <v>18</v>
      </c>
    </row>
    <row r="109" spans="1:6" ht="12.75">
      <c r="A109" t="s">
        <v>58</v>
      </c>
      <c r="C109" s="53"/>
      <c r="E109" t="s">
        <v>10</v>
      </c>
      <c r="F109" s="73"/>
    </row>
    <row r="111" spans="1:9" ht="12.75">
      <c r="A111" s="4" t="s">
        <v>77</v>
      </c>
      <c r="I111" t="s">
        <v>71</v>
      </c>
    </row>
    <row r="113" ht="12.75">
      <c r="A113" s="1" t="s">
        <v>78</v>
      </c>
    </row>
    <row r="115" spans="1:7" ht="12.75">
      <c r="A115" t="s">
        <v>4</v>
      </c>
      <c r="B115" s="72"/>
      <c r="D115" t="s">
        <v>28</v>
      </c>
      <c r="F115" s="75"/>
      <c r="G115" t="s">
        <v>29</v>
      </c>
    </row>
    <row r="117" ht="12.75">
      <c r="A117" s="1" t="s">
        <v>79</v>
      </c>
    </row>
    <row r="119" spans="1:7" ht="12.75">
      <c r="A119" t="s">
        <v>4</v>
      </c>
      <c r="B119" s="72"/>
      <c r="D119" t="s">
        <v>28</v>
      </c>
      <c r="F119" s="75"/>
      <c r="G119" t="s">
        <v>29</v>
      </c>
    </row>
    <row r="121" spans="1:2" ht="12.75">
      <c r="A121" s="1" t="s">
        <v>196</v>
      </c>
      <c r="B121" t="s">
        <v>197</v>
      </c>
    </row>
    <row r="123" spans="1:7" ht="12.75">
      <c r="A123" t="s">
        <v>4</v>
      </c>
      <c r="B123" s="72"/>
      <c r="D123" t="s">
        <v>28</v>
      </c>
      <c r="F123" s="75"/>
      <c r="G123" t="s">
        <v>29</v>
      </c>
    </row>
    <row r="125" ht="12.75">
      <c r="A125" s="38" t="s">
        <v>60</v>
      </c>
    </row>
    <row r="127" spans="1:7" ht="12.75">
      <c r="A127" s="1" t="s">
        <v>61</v>
      </c>
      <c r="C127" s="73">
        <f>Logboek!C166</f>
        <v>0</v>
      </c>
      <c r="D127" t="s">
        <v>62</v>
      </c>
      <c r="G127" t="s">
        <v>400</v>
      </c>
    </row>
    <row r="128" spans="3:7" ht="12.75">
      <c r="C128" s="73">
        <f>Logboek!C167</f>
        <v>0</v>
      </c>
      <c r="D128" t="s">
        <v>63</v>
      </c>
      <c r="G128" t="s">
        <v>401</v>
      </c>
    </row>
    <row r="129" spans="3:7" ht="12.75">
      <c r="C129" s="73">
        <f>Logboek!C168</f>
        <v>0</v>
      </c>
      <c r="D129" t="s">
        <v>64</v>
      </c>
      <c r="G129" t="s">
        <v>405</v>
      </c>
    </row>
    <row r="130" spans="2:5" ht="12.75">
      <c r="B130" t="s">
        <v>198</v>
      </c>
      <c r="C130" s="37">
        <v>0.5</v>
      </c>
      <c r="D130" s="73">
        <f>Logboek!D170</f>
        <v>0</v>
      </c>
      <c r="E130" t="s">
        <v>220</v>
      </c>
    </row>
    <row r="131" spans="3:7" ht="12.75">
      <c r="C131" s="37">
        <v>0.8</v>
      </c>
      <c r="D131" s="73">
        <f>Logboek!D171</f>
        <v>0</v>
      </c>
      <c r="E131" t="s">
        <v>220</v>
      </c>
      <c r="G131" s="73">
        <f>Logboek!H155</f>
        <v>0</v>
      </c>
    </row>
    <row r="132" spans="3:5" ht="12.75">
      <c r="C132" s="37">
        <v>0.9</v>
      </c>
      <c r="D132" s="75">
        <f>Logboek!D172</f>
        <v>0</v>
      </c>
      <c r="E132" t="s">
        <v>220</v>
      </c>
    </row>
    <row r="133" ht="12.75">
      <c r="D133" s="53"/>
    </row>
    <row r="134" ht="12.75">
      <c r="A134" s="38" t="s">
        <v>402</v>
      </c>
    </row>
    <row r="136" ht="12.75">
      <c r="A136" t="s">
        <v>413</v>
      </c>
    </row>
    <row r="138" spans="1:6" ht="12.75">
      <c r="A138" t="s">
        <v>414</v>
      </c>
      <c r="E138" s="73"/>
      <c r="F138" t="s">
        <v>40</v>
      </c>
    </row>
    <row r="139" spans="1:6" ht="12.75">
      <c r="A139" t="s">
        <v>415</v>
      </c>
      <c r="E139" s="73"/>
      <c r="F139" t="s">
        <v>40</v>
      </c>
    </row>
    <row r="140" spans="1:6" ht="12.75">
      <c r="A140" t="s">
        <v>417</v>
      </c>
      <c r="E140" s="73"/>
      <c r="F140" t="s">
        <v>18</v>
      </c>
    </row>
    <row r="141" spans="1:7" ht="12.75">
      <c r="A141" t="s">
        <v>416</v>
      </c>
      <c r="E141" s="73"/>
      <c r="F141" t="s">
        <v>18</v>
      </c>
      <c r="G141" s="53"/>
    </row>
    <row r="145" ht="12.75">
      <c r="A145" s="38" t="s">
        <v>80</v>
      </c>
    </row>
    <row r="147" spans="1:4" ht="12.75">
      <c r="A147" t="s">
        <v>81</v>
      </c>
      <c r="C147" s="73"/>
      <c r="D147" t="s">
        <v>29</v>
      </c>
    </row>
    <row r="148" spans="1:4" ht="12.75">
      <c r="A148" t="s">
        <v>82</v>
      </c>
      <c r="C148" s="73"/>
      <c r="D148" t="s">
        <v>29</v>
      </c>
    </row>
    <row r="149" spans="1:4" ht="12.75">
      <c r="A149" t="s">
        <v>83</v>
      </c>
      <c r="C149" s="73"/>
      <c r="D149" t="s">
        <v>29</v>
      </c>
    </row>
    <row r="150" spans="1:4" ht="12.75">
      <c r="A150" t="s">
        <v>84</v>
      </c>
      <c r="C150" s="73"/>
      <c r="D150" t="s">
        <v>29</v>
      </c>
    </row>
    <row r="151" spans="1:4" ht="12.75">
      <c r="A151" t="s">
        <v>85</v>
      </c>
      <c r="C151" s="73"/>
      <c r="D151" t="s">
        <v>29</v>
      </c>
    </row>
    <row r="152" spans="1:4" ht="12.75">
      <c r="A152" t="s">
        <v>87</v>
      </c>
      <c r="C152" s="73"/>
      <c r="D152" t="s">
        <v>29</v>
      </c>
    </row>
    <row r="153" spans="1:4" ht="12.75">
      <c r="A153" t="s">
        <v>86</v>
      </c>
      <c r="C153" s="73"/>
      <c r="D153" t="s">
        <v>29</v>
      </c>
    </row>
    <row r="156" ht="12.75">
      <c r="A156" s="39" t="s">
        <v>89</v>
      </c>
    </row>
    <row r="158" spans="1:8" ht="12.75">
      <c r="A158" s="1" t="s">
        <v>4</v>
      </c>
      <c r="B158" s="72"/>
      <c r="C158" s="1" t="s">
        <v>90</v>
      </c>
      <c r="D158" s="74"/>
      <c r="E158" s="1" t="s">
        <v>91</v>
      </c>
      <c r="H158" s="72"/>
    </row>
    <row r="160" spans="1:6" ht="12.75">
      <c r="A160" s="1" t="s">
        <v>92</v>
      </c>
      <c r="E160" s="74"/>
      <c r="F160" t="s">
        <v>22</v>
      </c>
    </row>
    <row r="162" spans="1:5" ht="12.75">
      <c r="A162" s="1" t="s">
        <v>24</v>
      </c>
      <c r="D162" s="73"/>
      <c r="E162" t="s">
        <v>25</v>
      </c>
    </row>
    <row r="167" spans="1:9" ht="12.75">
      <c r="A167" s="39" t="s">
        <v>93</v>
      </c>
      <c r="I167" t="s">
        <v>88</v>
      </c>
    </row>
    <row r="169" spans="1:4" ht="12.75">
      <c r="A169" s="1" t="s">
        <v>91</v>
      </c>
      <c r="D169" s="72"/>
    </row>
    <row r="171" spans="1:5" ht="12.75">
      <c r="A171" s="1" t="s">
        <v>94</v>
      </c>
      <c r="D171" s="73"/>
      <c r="E171" t="s">
        <v>95</v>
      </c>
    </row>
    <row r="173" spans="1:4" ht="12.75">
      <c r="A173" s="1" t="s">
        <v>96</v>
      </c>
      <c r="D173" s="72"/>
    </row>
    <row r="175" spans="1:6" ht="12.75">
      <c r="A175" t="s">
        <v>97</v>
      </c>
      <c r="E175" s="73"/>
      <c r="F175" t="s">
        <v>16</v>
      </c>
    </row>
    <row r="177" spans="1:6" ht="12.75">
      <c r="A177" t="s">
        <v>99</v>
      </c>
      <c r="E177" s="73"/>
      <c r="F177" t="s">
        <v>16</v>
      </c>
    </row>
    <row r="179" spans="1:6" ht="12.75">
      <c r="A179" t="s">
        <v>98</v>
      </c>
      <c r="E179" s="73"/>
      <c r="F179" t="s">
        <v>18</v>
      </c>
    </row>
    <row r="181" spans="1:6" ht="12.75">
      <c r="A181" t="s">
        <v>100</v>
      </c>
      <c r="E181" s="73"/>
      <c r="F181" t="s">
        <v>18</v>
      </c>
    </row>
    <row r="183" spans="1:7" ht="12.75">
      <c r="A183" s="1" t="s">
        <v>109</v>
      </c>
      <c r="F183" s="73"/>
      <c r="G183" t="s">
        <v>40</v>
      </c>
    </row>
    <row r="185" ht="12.75">
      <c r="A185" s="39" t="s">
        <v>101</v>
      </c>
    </row>
    <row r="187" spans="1:5" ht="12.75">
      <c r="A187" t="s">
        <v>4</v>
      </c>
      <c r="B187" s="72"/>
      <c r="D187" s="73"/>
      <c r="E187" t="s">
        <v>103</v>
      </c>
    </row>
    <row r="188" spans="1:5" ht="12.75">
      <c r="A188" t="s">
        <v>4</v>
      </c>
      <c r="B188" s="72"/>
      <c r="D188" s="73"/>
      <c r="E188" t="s">
        <v>103</v>
      </c>
    </row>
    <row r="189" spans="1:5" ht="12.75">
      <c r="A189" t="s">
        <v>4</v>
      </c>
      <c r="B189" s="72"/>
      <c r="D189" s="73"/>
      <c r="E189" t="s">
        <v>103</v>
      </c>
    </row>
    <row r="191" spans="1:5" ht="12.75">
      <c r="A191" t="s">
        <v>4</v>
      </c>
      <c r="B191" s="72"/>
      <c r="D191" s="73"/>
      <c r="E191" t="s">
        <v>7</v>
      </c>
    </row>
    <row r="192" spans="1:5" ht="12.75">
      <c r="A192" t="s">
        <v>4</v>
      </c>
      <c r="B192" s="72"/>
      <c r="D192" s="73"/>
      <c r="E192" t="s">
        <v>7</v>
      </c>
    </row>
    <row r="193" spans="1:5" ht="12.75">
      <c r="A193" t="s">
        <v>4</v>
      </c>
      <c r="B193" s="72"/>
      <c r="D193" s="73"/>
      <c r="E193" t="s">
        <v>7</v>
      </c>
    </row>
    <row r="194" ht="12.75" customHeight="1"/>
    <row r="195" ht="12.75">
      <c r="A195" s="39" t="s">
        <v>104</v>
      </c>
    </row>
    <row r="197" spans="2:9" ht="25.5" customHeight="1">
      <c r="B197" s="71" t="s">
        <v>105</v>
      </c>
      <c r="C197" s="54" t="s">
        <v>106</v>
      </c>
      <c r="D197" s="54" t="s">
        <v>107</v>
      </c>
      <c r="E197" s="54" t="s">
        <v>108</v>
      </c>
      <c r="F197" s="94" t="s">
        <v>303</v>
      </c>
      <c r="G197" s="95"/>
      <c r="H197" s="94" t="s">
        <v>110</v>
      </c>
      <c r="I197" s="95"/>
    </row>
    <row r="198" spans="1:9" ht="12.75">
      <c r="A198">
        <v>1</v>
      </c>
      <c r="B198" s="77"/>
      <c r="C198" s="80"/>
      <c r="D198" s="80"/>
      <c r="E198" s="83"/>
      <c r="F198" s="79"/>
      <c r="G198" s="11" t="s">
        <v>40</v>
      </c>
      <c r="H198" s="79"/>
      <c r="I198" s="11" t="s">
        <v>29</v>
      </c>
    </row>
    <row r="199" spans="1:9" ht="12.75" customHeight="1">
      <c r="A199">
        <v>2</v>
      </c>
      <c r="B199" s="76"/>
      <c r="C199" s="81"/>
      <c r="D199" s="81"/>
      <c r="E199" s="83"/>
      <c r="F199" s="79"/>
      <c r="G199" s="11" t="s">
        <v>40</v>
      </c>
      <c r="H199" s="79"/>
      <c r="I199" s="11" t="s">
        <v>29</v>
      </c>
    </row>
    <row r="200" spans="1:9" ht="12.75">
      <c r="A200">
        <v>3</v>
      </c>
      <c r="B200" s="76"/>
      <c r="C200" s="81"/>
      <c r="D200" s="81"/>
      <c r="E200" s="83"/>
      <c r="F200" s="79"/>
      <c r="G200" s="11" t="s">
        <v>40</v>
      </c>
      <c r="H200" s="79"/>
      <c r="I200" s="11" t="s">
        <v>29</v>
      </c>
    </row>
    <row r="201" spans="1:9" ht="12.75" customHeight="1">
      <c r="A201">
        <v>4</v>
      </c>
      <c r="B201" s="76"/>
      <c r="C201" s="81"/>
      <c r="D201" s="81"/>
      <c r="E201" s="83"/>
      <c r="F201" s="79"/>
      <c r="G201" s="11" t="s">
        <v>40</v>
      </c>
      <c r="H201" s="79"/>
      <c r="I201" s="11" t="s">
        <v>29</v>
      </c>
    </row>
    <row r="202" spans="1:9" ht="12.75">
      <c r="A202">
        <v>5</v>
      </c>
      <c r="B202" s="78"/>
      <c r="C202" s="82"/>
      <c r="D202" s="82"/>
      <c r="E202" s="84"/>
      <c r="F202" s="85"/>
      <c r="G202" s="12" t="s">
        <v>40</v>
      </c>
      <c r="H202" s="85"/>
      <c r="I202" s="12" t="s">
        <v>29</v>
      </c>
    </row>
    <row r="204" ht="12.75">
      <c r="A204" s="39" t="s">
        <v>111</v>
      </c>
    </row>
    <row r="205" ht="12.75" customHeight="1"/>
    <row r="206" spans="1:5" ht="12.75" customHeight="1">
      <c r="A206" s="1" t="s">
        <v>112</v>
      </c>
      <c r="D206" t="s">
        <v>4</v>
      </c>
      <c r="E206" s="72"/>
    </row>
    <row r="207" spans="1:5" ht="12.75">
      <c r="A207" s="1" t="s">
        <v>113</v>
      </c>
      <c r="D207" t="s">
        <v>4</v>
      </c>
      <c r="E207" s="72"/>
    </row>
    <row r="208" spans="1:5" ht="12.75">
      <c r="A208" t="s">
        <v>115</v>
      </c>
      <c r="D208" s="73"/>
      <c r="E208" t="s">
        <v>128</v>
      </c>
    </row>
    <row r="209" spans="1:5" ht="12.75">
      <c r="A209" t="s">
        <v>114</v>
      </c>
      <c r="D209" s="73"/>
      <c r="E209" t="s">
        <v>128</v>
      </c>
    </row>
    <row r="210" spans="1:5" ht="12.75">
      <c r="A210" s="1" t="s">
        <v>117</v>
      </c>
      <c r="D210" t="s">
        <v>4</v>
      </c>
      <c r="E210" s="72"/>
    </row>
    <row r="211" spans="1:5" ht="12.75">
      <c r="A211" t="s">
        <v>116</v>
      </c>
      <c r="D211" s="73"/>
      <c r="E211" t="s">
        <v>128</v>
      </c>
    </row>
    <row r="212" spans="1:5" ht="12.75">
      <c r="A212" t="s">
        <v>114</v>
      </c>
      <c r="D212" s="73"/>
      <c r="E212" t="s">
        <v>128</v>
      </c>
    </row>
    <row r="213" spans="1:5" ht="12.75">
      <c r="A213" s="1" t="s">
        <v>119</v>
      </c>
      <c r="B213" s="1"/>
      <c r="D213" t="s">
        <v>4</v>
      </c>
      <c r="E213" s="72"/>
    </row>
    <row r="214" spans="1:5" ht="12.75">
      <c r="A214" t="s">
        <v>122</v>
      </c>
      <c r="D214" s="73"/>
      <c r="E214" t="s">
        <v>29</v>
      </c>
    </row>
    <row r="215" spans="1:5" ht="12.75">
      <c r="A215" s="1" t="s">
        <v>118</v>
      </c>
      <c r="B215" s="1"/>
      <c r="D215" t="s">
        <v>4</v>
      </c>
      <c r="E215" s="72"/>
    </row>
    <row r="216" spans="1:5" ht="12.75">
      <c r="A216" t="s">
        <v>123</v>
      </c>
      <c r="D216" s="73"/>
      <c r="E216" t="s">
        <v>124</v>
      </c>
    </row>
    <row r="217" spans="1:5" ht="12.75">
      <c r="A217" s="1" t="s">
        <v>120</v>
      </c>
      <c r="B217" s="1"/>
      <c r="D217" t="s">
        <v>4</v>
      </c>
      <c r="E217" s="72"/>
    </row>
    <row r="218" spans="1:5" ht="12.75">
      <c r="A218" t="s">
        <v>125</v>
      </c>
      <c r="D218" s="73"/>
      <c r="E218" t="s">
        <v>126</v>
      </c>
    </row>
    <row r="219" spans="1:5" ht="12.75">
      <c r="A219" s="1" t="s">
        <v>121</v>
      </c>
      <c r="B219" s="1"/>
      <c r="D219" t="s">
        <v>4</v>
      </c>
      <c r="E219" s="72"/>
    </row>
    <row r="220" spans="1:5" ht="12.75">
      <c r="A220" t="s">
        <v>127</v>
      </c>
      <c r="D220" s="73"/>
      <c r="E220" t="s">
        <v>29</v>
      </c>
    </row>
    <row r="222" spans="1:9" ht="12.75">
      <c r="A222" s="39" t="s">
        <v>129</v>
      </c>
      <c r="I222" t="s">
        <v>102</v>
      </c>
    </row>
    <row r="224" spans="1:7" ht="12.75">
      <c r="A224" t="s">
        <v>4</v>
      </c>
      <c r="B224" s="72"/>
      <c r="D224" s="73"/>
      <c r="E224" t="s">
        <v>130</v>
      </c>
      <c r="F224" t="s">
        <v>131</v>
      </c>
      <c r="G224" s="73"/>
    </row>
    <row r="225" spans="1:7" ht="12.75">
      <c r="A225" t="s">
        <v>4</v>
      </c>
      <c r="B225" s="72"/>
      <c r="D225" s="73"/>
      <c r="E225" t="s">
        <v>130</v>
      </c>
      <c r="F225" t="s">
        <v>131</v>
      </c>
      <c r="G225" s="73"/>
    </row>
    <row r="226" spans="1:7" ht="12.75">
      <c r="A226" t="s">
        <v>4</v>
      </c>
      <c r="B226" s="72"/>
      <c r="D226" s="73"/>
      <c r="E226" t="s">
        <v>130</v>
      </c>
      <c r="F226" t="s">
        <v>131</v>
      </c>
      <c r="G226" s="73"/>
    </row>
    <row r="229" ht="12.75">
      <c r="A229" s="39" t="s">
        <v>132</v>
      </c>
    </row>
    <row r="231" spans="1:5" ht="12.75">
      <c r="A231" t="s">
        <v>4</v>
      </c>
      <c r="B231" s="72"/>
      <c r="D231" s="73"/>
      <c r="E231" t="s">
        <v>133</v>
      </c>
    </row>
    <row r="232" spans="1:5" ht="12.75">
      <c r="A232" t="s">
        <v>4</v>
      </c>
      <c r="B232" s="72"/>
      <c r="D232" s="73"/>
      <c r="E232" t="s">
        <v>133</v>
      </c>
    </row>
    <row r="233" spans="1:5" ht="12.75">
      <c r="A233" t="s">
        <v>4</v>
      </c>
      <c r="B233" s="72"/>
      <c r="D233" s="73"/>
      <c r="E233" t="s">
        <v>133</v>
      </c>
    </row>
    <row r="234" spans="1:5" ht="12.75">
      <c r="A234" t="s">
        <v>4</v>
      </c>
      <c r="B234" s="72"/>
      <c r="D234" s="73"/>
      <c r="E234" t="s">
        <v>133</v>
      </c>
    </row>
    <row r="235" spans="1:5" ht="12.75">
      <c r="A235" t="s">
        <v>4</v>
      </c>
      <c r="B235" s="72"/>
      <c r="D235" s="73"/>
      <c r="E235" t="s">
        <v>133</v>
      </c>
    </row>
    <row r="238" ht="12.75">
      <c r="A238" s="1" t="s">
        <v>134</v>
      </c>
    </row>
    <row r="240" spans="1:7" ht="12.75">
      <c r="A240" t="s">
        <v>4</v>
      </c>
      <c r="B240" s="72">
        <v>36568</v>
      </c>
      <c r="D240" t="s">
        <v>135</v>
      </c>
      <c r="F240" s="73"/>
      <c r="G240" t="s">
        <v>136</v>
      </c>
    </row>
    <row r="241" spans="1:7" ht="12.75">
      <c r="A241" t="s">
        <v>4</v>
      </c>
      <c r="B241" s="72"/>
      <c r="D241" t="s">
        <v>135</v>
      </c>
      <c r="F241" s="73"/>
      <c r="G241" t="s">
        <v>136</v>
      </c>
    </row>
    <row r="242" spans="1:7" ht="12.75">
      <c r="A242" t="s">
        <v>4</v>
      </c>
      <c r="B242" s="72"/>
      <c r="D242" t="s">
        <v>135</v>
      </c>
      <c r="F242" s="73"/>
      <c r="G242" t="s">
        <v>136</v>
      </c>
    </row>
    <row r="243" spans="1:7" ht="12.75">
      <c r="A243" t="s">
        <v>4</v>
      </c>
      <c r="B243" s="72"/>
      <c r="D243" t="s">
        <v>135</v>
      </c>
      <c r="F243" s="73"/>
      <c r="G243" t="s">
        <v>136</v>
      </c>
    </row>
    <row r="244" spans="1:7" ht="12.75">
      <c r="A244" t="s">
        <v>4</v>
      </c>
      <c r="B244" s="72"/>
      <c r="D244" t="s">
        <v>135</v>
      </c>
      <c r="F244" s="73"/>
      <c r="G244" t="s">
        <v>136</v>
      </c>
    </row>
    <row r="247" spans="1:5" ht="12.75">
      <c r="A247" s="39" t="s">
        <v>137</v>
      </c>
      <c r="D247" t="s">
        <v>4</v>
      </c>
      <c r="E247">
        <v>0</v>
      </c>
    </row>
    <row r="249" ht="12.75">
      <c r="A249" s="1" t="s">
        <v>138</v>
      </c>
    </row>
    <row r="251" spans="2:3" ht="12.75">
      <c r="B251" s="73"/>
      <c r="C251" t="s">
        <v>7</v>
      </c>
    </row>
    <row r="252" spans="2:3" ht="12.75">
      <c r="B252" s="73"/>
      <c r="C252" t="s">
        <v>139</v>
      </c>
    </row>
    <row r="253" spans="2:5" ht="12.75">
      <c r="B253" s="73"/>
      <c r="C253" t="s">
        <v>140</v>
      </c>
      <c r="D253" t="s">
        <v>141</v>
      </c>
      <c r="E253" s="53"/>
    </row>
    <row r="254" spans="2:3" ht="12.75">
      <c r="B254" s="73"/>
      <c r="C254" t="s">
        <v>136</v>
      </c>
    </row>
    <row r="257" spans="1:6" ht="12.75">
      <c r="A257" s="1" t="s">
        <v>305</v>
      </c>
      <c r="E257" t="s">
        <v>4</v>
      </c>
      <c r="F257" s="72"/>
    </row>
    <row r="259" spans="1:4" ht="12.75">
      <c r="A259" t="s">
        <v>143</v>
      </c>
      <c r="C259" s="73"/>
      <c r="D259" t="s">
        <v>29</v>
      </c>
    </row>
    <row r="260" spans="1:4" ht="12.75">
      <c r="A260" t="s">
        <v>144</v>
      </c>
      <c r="C260" s="73"/>
      <c r="D260" t="s">
        <v>29</v>
      </c>
    </row>
    <row r="261" spans="1:4" ht="12.75">
      <c r="A261" t="s">
        <v>145</v>
      </c>
      <c r="C261" s="73"/>
      <c r="D261" t="s">
        <v>29</v>
      </c>
    </row>
    <row r="264" spans="1:4" ht="12.75">
      <c r="A264" s="1" t="s">
        <v>146</v>
      </c>
      <c r="C264" s="73"/>
      <c r="D264" t="s">
        <v>148</v>
      </c>
    </row>
    <row r="265" spans="3:4" ht="12.75">
      <c r="C265" s="73"/>
      <c r="D265" t="s">
        <v>149</v>
      </c>
    </row>
    <row r="266" spans="3:4" ht="12.75">
      <c r="C266" s="73"/>
      <c r="D266" t="s">
        <v>147</v>
      </c>
    </row>
  </sheetData>
  <mergeCells count="3">
    <mergeCell ref="F197:G197"/>
    <mergeCell ref="H197:I197"/>
    <mergeCell ref="A1:H1"/>
  </mergeCells>
  <printOptions/>
  <pageMargins left="0.75" right="0.75" top="1" bottom="1"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586"/>
  <sheetViews>
    <sheetView showZeros="0" workbookViewId="0" topLeftCell="A1">
      <selection activeCell="D86" sqref="D86"/>
    </sheetView>
  </sheetViews>
  <sheetFormatPr defaultColWidth="9.140625" defaultRowHeight="12.75"/>
  <cols>
    <col min="2" max="2" width="9.421875" style="0" customWidth="1"/>
    <col min="3" max="3" width="10.7109375" style="0" bestFit="1" customWidth="1"/>
    <col min="4" max="5" width="9.421875" style="0" bestFit="1" customWidth="1"/>
    <col min="6" max="6" width="10.7109375" style="0" bestFit="1" customWidth="1"/>
    <col min="7" max="7" width="9.421875" style="0" bestFit="1" customWidth="1"/>
  </cols>
  <sheetData>
    <row r="1" spans="1:9" ht="29.25">
      <c r="A1" s="96" t="s">
        <v>219</v>
      </c>
      <c r="B1" s="96"/>
      <c r="C1" s="96"/>
      <c r="D1" s="96"/>
      <c r="E1" s="96"/>
      <c r="F1" s="96"/>
      <c r="G1" s="96"/>
      <c r="H1" s="96"/>
      <c r="I1" t="s">
        <v>0</v>
      </c>
    </row>
    <row r="3" spans="1:9" ht="12.75">
      <c r="A3" s="1" t="s">
        <v>2</v>
      </c>
      <c r="C3">
        <f>Invoerblad!C3</f>
        <v>0</v>
      </c>
      <c r="H3" s="1" t="s">
        <v>3</v>
      </c>
      <c r="I3" s="26">
        <f>Invoerblad!I3</f>
        <v>0</v>
      </c>
    </row>
    <row r="5" spans="1:2" ht="12.75">
      <c r="A5" s="1" t="s">
        <v>4</v>
      </c>
      <c r="B5" s="60">
        <f>Invoerblad!B5</f>
        <v>0</v>
      </c>
    </row>
    <row r="7" spans="1:4" ht="15">
      <c r="A7" s="2" t="s">
        <v>5</v>
      </c>
      <c r="B7" s="3"/>
      <c r="C7" s="3"/>
      <c r="D7" s="3"/>
    </row>
    <row r="9" spans="1:5" ht="12.75">
      <c r="A9" s="1" t="s">
        <v>6</v>
      </c>
      <c r="D9" s="26">
        <f>Invoerblad!D9</f>
        <v>0</v>
      </c>
      <c r="E9" t="s">
        <v>7</v>
      </c>
    </row>
    <row r="10" spans="4:7" ht="12.75">
      <c r="D10" s="26">
        <f>Invoerblad!D10</f>
        <v>0</v>
      </c>
      <c r="E10" t="s">
        <v>8</v>
      </c>
      <c r="F10" s="1" t="s">
        <v>9</v>
      </c>
      <c r="G10">
        <f>Invoerblad!G10</f>
        <v>0</v>
      </c>
    </row>
    <row r="11" spans="1:7" ht="12.75">
      <c r="A11" t="s">
        <v>11</v>
      </c>
      <c r="F11" s="1" t="s">
        <v>10</v>
      </c>
      <c r="G11" s="26">
        <f>Invoerblad!G11</f>
        <v>0</v>
      </c>
    </row>
    <row r="12" ht="12.75">
      <c r="A12" t="s">
        <v>12</v>
      </c>
    </row>
    <row r="14" spans="1:5" ht="12.75">
      <c r="A14" s="1" t="s">
        <v>13</v>
      </c>
      <c r="D14" s="26">
        <f>Invoerblad!D14</f>
        <v>0</v>
      </c>
      <c r="E14" t="s">
        <v>7</v>
      </c>
    </row>
    <row r="15" spans="4:7" ht="12.75">
      <c r="D15" s="26">
        <f>Invoerblad!D15</f>
        <v>0</v>
      </c>
      <c r="E15" t="s">
        <v>8</v>
      </c>
      <c r="F15" s="1" t="s">
        <v>9</v>
      </c>
      <c r="G15">
        <f>Invoerblad!G15</f>
        <v>0</v>
      </c>
    </row>
    <row r="16" spans="6:7" ht="12.75">
      <c r="F16" s="1" t="s">
        <v>10</v>
      </c>
      <c r="G16" s="26">
        <f>Invoerblad!G16</f>
        <v>0</v>
      </c>
    </row>
    <row r="18" spans="1:5" ht="12.75">
      <c r="A18" s="1" t="s">
        <v>221</v>
      </c>
      <c r="D18" s="26">
        <f>(D9+D10+D14+D15)</f>
        <v>0</v>
      </c>
      <c r="E18" t="s">
        <v>40</v>
      </c>
    </row>
    <row r="20" spans="1:7" ht="12.75">
      <c r="A20" s="1" t="s">
        <v>14</v>
      </c>
      <c r="C20" s="38" t="s">
        <v>15</v>
      </c>
      <c r="F20" s="26">
        <f>Invoerblad!F18</f>
        <v>0</v>
      </c>
      <c r="G20" t="s">
        <v>16</v>
      </c>
    </row>
    <row r="21" spans="3:7" ht="12.75">
      <c r="C21" t="s">
        <v>19</v>
      </c>
      <c r="F21" s="26">
        <f>Invoerblad!F19</f>
        <v>0</v>
      </c>
      <c r="G21" t="s">
        <v>20</v>
      </c>
    </row>
    <row r="22" spans="3:7" ht="12.75">
      <c r="C22" s="38" t="s">
        <v>17</v>
      </c>
      <c r="F22" s="26">
        <f>Invoerblad!F20</f>
        <v>0</v>
      </c>
      <c r="G22" t="s">
        <v>18</v>
      </c>
    </row>
    <row r="24" spans="1:6" ht="12.75">
      <c r="A24" s="1" t="s">
        <v>21</v>
      </c>
      <c r="E24" s="61">
        <f>Invoerblad!E22</f>
        <v>0</v>
      </c>
      <c r="F24" t="s">
        <v>22</v>
      </c>
    </row>
    <row r="26" spans="1:6" ht="12.75">
      <c r="A26" s="1" t="s">
        <v>23</v>
      </c>
      <c r="E26" s="61">
        <f>Invoerblad!E24</f>
        <v>0</v>
      </c>
      <c r="F26" t="s">
        <v>22</v>
      </c>
    </row>
    <row r="28" spans="1:6" ht="12.75">
      <c r="A28" s="1" t="s">
        <v>24</v>
      </c>
      <c r="E28" s="26">
        <f>Invoerblad!E26</f>
        <v>0</v>
      </c>
      <c r="F28" t="s">
        <v>25</v>
      </c>
    </row>
    <row r="30" spans="1:6" ht="12.75">
      <c r="A30" s="1" t="s">
        <v>26</v>
      </c>
      <c r="B30">
        <f>Invoerblad!B28</f>
        <v>0</v>
      </c>
      <c r="E30" s="1" t="s">
        <v>9</v>
      </c>
      <c r="F30">
        <f>Invoerblad!F28</f>
        <v>0</v>
      </c>
    </row>
    <row r="31" spans="1:7" ht="12.75">
      <c r="A31" s="1" t="s">
        <v>27</v>
      </c>
      <c r="D31" s="26">
        <f>Invoerblad!D29</f>
        <v>0</v>
      </c>
      <c r="E31" s="1" t="s">
        <v>28</v>
      </c>
      <c r="F31" s="26">
        <f>Invoerblad!F29</f>
        <v>0</v>
      </c>
      <c r="G31" t="s">
        <v>29</v>
      </c>
    </row>
    <row r="33" ht="12.75">
      <c r="A33" s="38" t="s">
        <v>66</v>
      </c>
    </row>
    <row r="35" spans="1:7" ht="12.75">
      <c r="A35" s="1" t="s">
        <v>31</v>
      </c>
      <c r="C35" s="26">
        <f>Invoerblad!C33</f>
        <v>0</v>
      </c>
      <c r="D35" t="s">
        <v>29</v>
      </c>
      <c r="E35" s="1" t="s">
        <v>32</v>
      </c>
      <c r="F35" s="26">
        <f>Invoerblad!F33</f>
        <v>0</v>
      </c>
      <c r="G35" t="s">
        <v>29</v>
      </c>
    </row>
    <row r="37" spans="1:8" ht="12.75">
      <c r="A37" t="s">
        <v>33</v>
      </c>
      <c r="C37" s="26">
        <f>Invoerblad!C35</f>
        <v>0</v>
      </c>
      <c r="D37" t="s">
        <v>29</v>
      </c>
      <c r="E37" t="s">
        <v>36</v>
      </c>
      <c r="G37" s="26">
        <f>Invoerblad!G35</f>
        <v>0</v>
      </c>
      <c r="H37" t="s">
        <v>29</v>
      </c>
    </row>
    <row r="38" spans="1:8" ht="12.75">
      <c r="A38" t="s">
        <v>34</v>
      </c>
      <c r="C38" s="26">
        <f>Invoerblad!C36</f>
        <v>0</v>
      </c>
      <c r="D38" t="s">
        <v>29</v>
      </c>
      <c r="E38" t="s">
        <v>37</v>
      </c>
      <c r="G38" s="26">
        <f>Invoerblad!G36</f>
        <v>0</v>
      </c>
      <c r="H38" t="s">
        <v>29</v>
      </c>
    </row>
    <row r="39" spans="1:4" ht="12.75">
      <c r="A39" t="s">
        <v>35</v>
      </c>
      <c r="C39" s="26">
        <f>Invoerblad!C37</f>
        <v>0</v>
      </c>
      <c r="D39" t="s">
        <v>29</v>
      </c>
    </row>
    <row r="41" spans="1:6" ht="12.75">
      <c r="A41" s="1" t="s">
        <v>222</v>
      </c>
      <c r="E41" s="26">
        <f>(C37+C38+C39+G37+G38)</f>
        <v>0</v>
      </c>
      <c r="F41" t="s">
        <v>29</v>
      </c>
    </row>
    <row r="43" ht="12.75">
      <c r="A43" s="40" t="s">
        <v>232</v>
      </c>
    </row>
    <row r="44" ht="12.75">
      <c r="B44" s="40" t="s">
        <v>231</v>
      </c>
    </row>
    <row r="51" ht="15">
      <c r="A51" s="2" t="s">
        <v>45</v>
      </c>
    </row>
    <row r="54" spans="1:8" ht="12.75">
      <c r="A54" s="38" t="s">
        <v>38</v>
      </c>
      <c r="F54" s="1" t="s">
        <v>39</v>
      </c>
      <c r="H54" s="60">
        <f>Invoerblad!H42</f>
        <v>0</v>
      </c>
    </row>
    <row r="55" ht="12.75">
      <c r="I55" t="s">
        <v>30</v>
      </c>
    </row>
    <row r="56" spans="1:9" ht="12.75">
      <c r="A56" s="105" t="s">
        <v>223</v>
      </c>
      <c r="B56" s="106"/>
      <c r="C56" s="107"/>
      <c r="D56" s="105" t="s">
        <v>224</v>
      </c>
      <c r="E56" s="107"/>
      <c r="F56" s="105" t="s">
        <v>225</v>
      </c>
      <c r="G56" s="107"/>
      <c r="H56" s="105" t="s">
        <v>226</v>
      </c>
      <c r="I56" s="107"/>
    </row>
    <row r="57" spans="1:9" ht="12.75">
      <c r="A57" s="5">
        <f>Invoerblad!B44</f>
        <v>0</v>
      </c>
      <c r="B57" s="41"/>
      <c r="C57" s="6"/>
      <c r="D57" s="55">
        <f>Invoerblad!E44</f>
        <v>0</v>
      </c>
      <c r="E57" s="6" t="s">
        <v>41</v>
      </c>
      <c r="F57" s="55">
        <f>Invoerblad!G44</f>
        <v>0</v>
      </c>
      <c r="G57" s="6" t="s">
        <v>40</v>
      </c>
      <c r="H57" s="65">
        <f>IF($D57=0,0,($F57/$D57)*100)</f>
        <v>0</v>
      </c>
      <c r="I57" s="6" t="s">
        <v>227</v>
      </c>
    </row>
    <row r="58" spans="1:9" ht="12.75">
      <c r="A58" s="7">
        <f>Invoerblad!B45</f>
        <v>0</v>
      </c>
      <c r="B58" s="34"/>
      <c r="C58" s="8"/>
      <c r="D58" s="62">
        <f>Invoerblad!E45</f>
        <v>0</v>
      </c>
      <c r="E58" s="8" t="s">
        <v>41</v>
      </c>
      <c r="F58" s="62">
        <f>Invoerblad!G45</f>
        <v>0</v>
      </c>
      <c r="G58" s="8" t="s">
        <v>40</v>
      </c>
      <c r="H58" s="65">
        <f aca="true" t="shared" si="0" ref="H58:H64">IF($D58=0,0,($F58/$D58)*100)</f>
        <v>0</v>
      </c>
      <c r="I58" s="6" t="s">
        <v>227</v>
      </c>
    </row>
    <row r="59" spans="1:9" ht="12.75">
      <c r="A59" s="31">
        <f>Invoerblad!B46</f>
        <v>0</v>
      </c>
      <c r="B59" s="32"/>
      <c r="C59" s="33"/>
      <c r="D59" s="63">
        <f>Invoerblad!E46</f>
        <v>0</v>
      </c>
      <c r="E59" s="33" t="s">
        <v>41</v>
      </c>
      <c r="F59" s="63">
        <f>Invoerblad!G46</f>
        <v>0</v>
      </c>
      <c r="G59" s="33" t="s">
        <v>40</v>
      </c>
      <c r="H59" s="65">
        <f t="shared" si="0"/>
        <v>0</v>
      </c>
      <c r="I59" s="6" t="s">
        <v>227</v>
      </c>
    </row>
    <row r="60" spans="1:9" ht="12.75">
      <c r="A60" s="5">
        <f>Invoerblad!B47</f>
        <v>0</v>
      </c>
      <c r="B60" s="41"/>
      <c r="C60" s="6"/>
      <c r="D60" s="55">
        <f>Invoerblad!E47</f>
        <v>0</v>
      </c>
      <c r="E60" s="6" t="s">
        <v>41</v>
      </c>
      <c r="F60" s="55">
        <f>Invoerblad!G47</f>
        <v>0</v>
      </c>
      <c r="G60" s="6" t="s">
        <v>40</v>
      </c>
      <c r="H60" s="65">
        <f t="shared" si="0"/>
        <v>0</v>
      </c>
      <c r="I60" s="6" t="s">
        <v>227</v>
      </c>
    </row>
    <row r="61" spans="1:9" ht="12.75">
      <c r="A61" s="7">
        <f>Invoerblad!B48</f>
        <v>0</v>
      </c>
      <c r="B61" s="34"/>
      <c r="C61" s="8"/>
      <c r="D61" s="62">
        <f>Invoerblad!E48</f>
        <v>0</v>
      </c>
      <c r="E61" s="8" t="s">
        <v>41</v>
      </c>
      <c r="F61" s="62">
        <f>Invoerblad!G48</f>
        <v>0</v>
      </c>
      <c r="G61" s="8" t="s">
        <v>40</v>
      </c>
      <c r="H61" s="65">
        <f t="shared" si="0"/>
        <v>0</v>
      </c>
      <c r="I61" s="6" t="s">
        <v>227</v>
      </c>
    </row>
    <row r="62" spans="1:9" ht="12.75">
      <c r="A62" s="5">
        <f>Invoerblad!B49</f>
        <v>0</v>
      </c>
      <c r="B62" s="41"/>
      <c r="C62" s="6"/>
      <c r="D62" s="55">
        <f>Invoerblad!E49</f>
        <v>0</v>
      </c>
      <c r="E62" s="6" t="s">
        <v>41</v>
      </c>
      <c r="F62" s="55">
        <f>Invoerblad!G49</f>
        <v>0</v>
      </c>
      <c r="G62" s="6" t="s">
        <v>40</v>
      </c>
      <c r="H62" s="65">
        <f t="shared" si="0"/>
        <v>0</v>
      </c>
      <c r="I62" s="6" t="s">
        <v>227</v>
      </c>
    </row>
    <row r="63" spans="1:9" ht="12.75">
      <c r="A63" s="9">
        <f>Invoerblad!B50</f>
        <v>0</v>
      </c>
      <c r="B63" s="35"/>
      <c r="C63" s="10"/>
      <c r="D63" s="64">
        <f>Invoerblad!E50</f>
        <v>0</v>
      </c>
      <c r="E63" s="10" t="s">
        <v>41</v>
      </c>
      <c r="F63" s="64">
        <f>Invoerblad!G50</f>
        <v>0</v>
      </c>
      <c r="G63" s="10" t="s">
        <v>40</v>
      </c>
      <c r="H63" s="65">
        <f t="shared" si="0"/>
        <v>0</v>
      </c>
      <c r="I63" s="6" t="s">
        <v>227</v>
      </c>
    </row>
    <row r="64" spans="1:9" ht="12.75">
      <c r="A64" s="9" t="s">
        <v>228</v>
      </c>
      <c r="B64" s="35"/>
      <c r="C64" s="10"/>
      <c r="D64" s="64">
        <f>(D57+D58+D59+D60+D61+D62+D63)</f>
        <v>0</v>
      </c>
      <c r="E64" s="10" t="s">
        <v>41</v>
      </c>
      <c r="F64" s="64">
        <f>(F57+F58+F59+F60+F61+F62+F63)</f>
        <v>0</v>
      </c>
      <c r="G64" s="10" t="s">
        <v>40</v>
      </c>
      <c r="H64" s="65">
        <f t="shared" si="0"/>
        <v>0</v>
      </c>
      <c r="I64" s="6" t="s">
        <v>227</v>
      </c>
    </row>
    <row r="67" ht="12.75">
      <c r="A67" s="1" t="s">
        <v>42</v>
      </c>
    </row>
    <row r="68" spans="1:6" ht="12.75">
      <c r="A68">
        <v>1</v>
      </c>
      <c r="B68" t="s">
        <v>15</v>
      </c>
      <c r="D68" s="26">
        <f>Invoerblad!D57</f>
        <v>0</v>
      </c>
      <c r="E68" t="s">
        <v>17</v>
      </c>
      <c r="F68" s="26">
        <f>Invoerblad!F57</f>
        <v>0</v>
      </c>
    </row>
    <row r="69" spans="1:6" ht="12.75">
      <c r="A69">
        <v>2</v>
      </c>
      <c r="B69" t="s">
        <v>15</v>
      </c>
      <c r="D69" s="26">
        <f>Invoerblad!D58</f>
        <v>0</v>
      </c>
      <c r="E69" t="s">
        <v>17</v>
      </c>
      <c r="F69" s="26">
        <f>Invoerblad!F58</f>
        <v>0</v>
      </c>
    </row>
    <row r="70" spans="1:6" ht="12.75">
      <c r="A70">
        <v>3</v>
      </c>
      <c r="B70" t="s">
        <v>15</v>
      </c>
      <c r="D70" s="26">
        <f>Invoerblad!D59</f>
        <v>0</v>
      </c>
      <c r="E70" t="s">
        <v>17</v>
      </c>
      <c r="F70" s="26">
        <f>Invoerblad!F59</f>
        <v>0</v>
      </c>
    </row>
    <row r="71" spans="1:6" ht="12.75">
      <c r="A71">
        <v>4</v>
      </c>
      <c r="B71" t="s">
        <v>15</v>
      </c>
      <c r="D71" s="26">
        <f>Invoerblad!D60</f>
        <v>0</v>
      </c>
      <c r="E71" t="s">
        <v>17</v>
      </c>
      <c r="F71" s="26">
        <f>Invoerblad!F60</f>
        <v>0</v>
      </c>
    </row>
    <row r="72" spans="1:6" ht="12.75">
      <c r="A72">
        <v>5</v>
      </c>
      <c r="B72" t="s">
        <v>15</v>
      </c>
      <c r="D72" s="26">
        <f>Invoerblad!D61</f>
        <v>0</v>
      </c>
      <c r="E72" t="s">
        <v>17</v>
      </c>
      <c r="F72" s="26">
        <f>Invoerblad!F61</f>
        <v>0</v>
      </c>
    </row>
    <row r="73" spans="1:6" ht="12.75">
      <c r="A73">
        <v>6</v>
      </c>
      <c r="B73" t="s">
        <v>15</v>
      </c>
      <c r="D73" s="26">
        <f>Invoerblad!D62</f>
        <v>0</v>
      </c>
      <c r="E73" t="s">
        <v>17</v>
      </c>
      <c r="F73" s="26">
        <f>Invoerblad!F62</f>
        <v>0</v>
      </c>
    </row>
    <row r="74" spans="1:6" ht="12.75">
      <c r="A74">
        <v>7</v>
      </c>
      <c r="B74" t="s">
        <v>15</v>
      </c>
      <c r="D74" s="26">
        <f>Invoerblad!D63</f>
        <v>0</v>
      </c>
      <c r="E74" t="s">
        <v>17</v>
      </c>
      <c r="F74" s="26">
        <f>Invoerblad!F63</f>
        <v>0</v>
      </c>
    </row>
    <row r="76" ht="12.75">
      <c r="A76" s="38" t="s">
        <v>49</v>
      </c>
    </row>
    <row r="78" spans="1:9" ht="12.75">
      <c r="A78" t="s">
        <v>50</v>
      </c>
      <c r="D78" s="26">
        <f>Invoerblad!D67</f>
        <v>0</v>
      </c>
      <c r="E78" t="s">
        <v>29</v>
      </c>
      <c r="H78" t="s">
        <v>4</v>
      </c>
      <c r="I78" s="60">
        <f>Invoerblad!I67</f>
        <v>0</v>
      </c>
    </row>
    <row r="79" spans="1:9" ht="12.75">
      <c r="A79" t="s">
        <v>51</v>
      </c>
      <c r="D79" s="26">
        <f>Invoerblad!D68</f>
        <v>0</v>
      </c>
      <c r="E79" t="s">
        <v>29</v>
      </c>
      <c r="H79" t="s">
        <v>4</v>
      </c>
      <c r="I79" s="60">
        <f>Invoerblad!I68</f>
        <v>0</v>
      </c>
    </row>
    <row r="80" spans="1:9" ht="12.75">
      <c r="A80" t="s">
        <v>31</v>
      </c>
      <c r="D80" s="26">
        <f>Invoerblad!D69</f>
        <v>0</v>
      </c>
      <c r="E80" t="s">
        <v>29</v>
      </c>
      <c r="H80" t="s">
        <v>4</v>
      </c>
      <c r="I80" s="60">
        <f>Invoerblad!I69</f>
        <v>0</v>
      </c>
    </row>
    <row r="81" spans="1:9" ht="12.75">
      <c r="A81" t="s">
        <v>52</v>
      </c>
      <c r="D81" s="26">
        <f>Invoerblad!D70</f>
        <v>0</v>
      </c>
      <c r="E81" t="s">
        <v>67</v>
      </c>
      <c r="H81" t="s">
        <v>4</v>
      </c>
      <c r="I81" s="60">
        <f>Invoerblad!I70</f>
        <v>0</v>
      </c>
    </row>
    <row r="82" spans="1:6" ht="12.75">
      <c r="A82" t="s">
        <v>9</v>
      </c>
      <c r="B82">
        <f>Invoerblad!B71</f>
        <v>0</v>
      </c>
      <c r="E82" t="s">
        <v>10</v>
      </c>
      <c r="F82">
        <f>Invoerblad!F71</f>
        <v>0</v>
      </c>
    </row>
    <row r="83" spans="1:9" ht="12.75">
      <c r="A83" t="s">
        <v>53</v>
      </c>
      <c r="D83" s="26">
        <f>Invoerblad!D72</f>
        <v>0</v>
      </c>
      <c r="E83" t="s">
        <v>29</v>
      </c>
      <c r="H83" t="s">
        <v>4</v>
      </c>
      <c r="I83" s="60">
        <f>Invoerblad!I72</f>
        <v>0</v>
      </c>
    </row>
    <row r="84" spans="1:9" ht="12.75">
      <c r="A84" t="s">
        <v>54</v>
      </c>
      <c r="D84" s="26">
        <f>Invoerblad!D73</f>
        <v>0</v>
      </c>
      <c r="E84" t="s">
        <v>29</v>
      </c>
      <c r="H84" t="s">
        <v>4</v>
      </c>
      <c r="I84" s="60">
        <f>Invoerblad!I73</f>
        <v>0</v>
      </c>
    </row>
    <row r="85" spans="1:9" ht="12.75">
      <c r="A85" t="s">
        <v>59</v>
      </c>
      <c r="D85" s="26">
        <f>Invoerblad!D74</f>
        <v>0</v>
      </c>
      <c r="E85" t="s">
        <v>29</v>
      </c>
      <c r="H85" t="s">
        <v>4</v>
      </c>
      <c r="I85" s="60">
        <f>Invoerblad!I74</f>
        <v>0</v>
      </c>
    </row>
    <row r="86" spans="1:9" ht="12.75">
      <c r="A86" t="s">
        <v>426</v>
      </c>
      <c r="D86" s="26">
        <f>Invoerblad!D75</f>
        <v>0</v>
      </c>
      <c r="E86" t="s">
        <v>29</v>
      </c>
      <c r="H86" t="s">
        <v>4</v>
      </c>
      <c r="I86" s="60">
        <f>Invoerblad!I75</f>
        <v>0</v>
      </c>
    </row>
    <row r="89" ht="15">
      <c r="A89" s="2" t="s">
        <v>65</v>
      </c>
    </row>
    <row r="91" spans="1:8" ht="12.75">
      <c r="A91" s="1" t="s">
        <v>72</v>
      </c>
      <c r="G91" s="26">
        <f>Invoerblad!G79</f>
        <v>0</v>
      </c>
      <c r="H91" t="s">
        <v>16</v>
      </c>
    </row>
    <row r="92" spans="1:5" ht="12.75">
      <c r="A92" t="s">
        <v>19</v>
      </c>
      <c r="D92" s="26">
        <f>Invoerblad!D80</f>
        <v>0</v>
      </c>
      <c r="E92" t="s">
        <v>20</v>
      </c>
    </row>
    <row r="94" spans="1:4" ht="12.75">
      <c r="A94" s="1" t="s">
        <v>43</v>
      </c>
      <c r="B94" s="1"/>
      <c r="C94" s="26">
        <f>Invoerblad!C82</f>
        <v>0</v>
      </c>
      <c r="D94" t="s">
        <v>18</v>
      </c>
    </row>
    <row r="96" spans="1:4" ht="12.75">
      <c r="A96" s="1" t="s">
        <v>44</v>
      </c>
      <c r="B96" s="1"/>
      <c r="C96" s="26">
        <f>Invoerblad!C84</f>
        <v>0</v>
      </c>
      <c r="D96" t="s">
        <v>18</v>
      </c>
    </row>
    <row r="98" spans="1:5" ht="12.75">
      <c r="A98" s="1" t="s">
        <v>46</v>
      </c>
      <c r="D98" s="26">
        <f>Invoerblad!D86</f>
        <v>0</v>
      </c>
      <c r="E98" t="s">
        <v>47</v>
      </c>
    </row>
    <row r="100" spans="1:5" ht="12.75">
      <c r="A100" s="1" t="s">
        <v>233</v>
      </c>
      <c r="B100" s="1"/>
      <c r="D100" s="26">
        <f>Invoerblad!D88</f>
        <v>0</v>
      </c>
      <c r="E100" t="s">
        <v>40</v>
      </c>
    </row>
    <row r="102" spans="1:6" ht="12.75">
      <c r="A102" s="1" t="s">
        <v>48</v>
      </c>
      <c r="E102" s="26">
        <f>Invoerblad!E90</f>
        <v>0</v>
      </c>
      <c r="F102" t="s">
        <v>40</v>
      </c>
    </row>
    <row r="106" ht="12.75">
      <c r="A106" s="39" t="s">
        <v>76</v>
      </c>
    </row>
    <row r="108" spans="1:2" ht="12.75">
      <c r="A108" s="38" t="s">
        <v>73</v>
      </c>
      <c r="B108" s="3"/>
    </row>
    <row r="110" spans="1:9" ht="12.75">
      <c r="A110" s="4" t="s">
        <v>74</v>
      </c>
      <c r="I110" t="s">
        <v>71</v>
      </c>
    </row>
    <row r="112" spans="1:9" ht="12.75">
      <c r="A112" t="s">
        <v>68</v>
      </c>
      <c r="D112" s="26">
        <f>Invoerblad!D98</f>
        <v>0</v>
      </c>
      <c r="E112" t="s">
        <v>40</v>
      </c>
      <c r="H112" t="s">
        <v>4</v>
      </c>
      <c r="I112" s="60">
        <f>Invoerblad!I98</f>
        <v>0</v>
      </c>
    </row>
    <row r="113" spans="1:5" ht="12.75">
      <c r="A113" t="s">
        <v>69</v>
      </c>
      <c r="D113" s="26">
        <f>Invoerblad!D99</f>
        <v>0</v>
      </c>
      <c r="E113" t="s">
        <v>16</v>
      </c>
    </row>
    <row r="114" spans="1:5" ht="12.75">
      <c r="A114" t="s">
        <v>19</v>
      </c>
      <c r="D114" s="26">
        <f>Invoerblad!D100</f>
        <v>0</v>
      </c>
      <c r="E114" t="s">
        <v>18</v>
      </c>
    </row>
    <row r="115" spans="1:5" ht="12.75">
      <c r="A115" t="s">
        <v>70</v>
      </c>
      <c r="D115" s="56">
        <f>Invoerblad!D101</f>
        <v>0.001</v>
      </c>
      <c r="E115" t="s">
        <v>18</v>
      </c>
    </row>
    <row r="117" ht="12.75">
      <c r="A117" s="4" t="s">
        <v>75</v>
      </c>
    </row>
    <row r="119" spans="1:9" ht="12.75">
      <c r="A119" t="s">
        <v>55</v>
      </c>
      <c r="D119" s="26">
        <f>Invoerblad!D105</f>
        <v>0</v>
      </c>
      <c r="E119" t="s">
        <v>40</v>
      </c>
      <c r="H119" t="s">
        <v>4</v>
      </c>
      <c r="I119" s="52"/>
    </row>
    <row r="120" spans="1:7" ht="12.75">
      <c r="A120" t="s">
        <v>56</v>
      </c>
      <c r="D120" s="26">
        <f>Invoerblad!D106</f>
        <v>0</v>
      </c>
      <c r="E120" t="s">
        <v>16</v>
      </c>
      <c r="G120" t="s">
        <v>11</v>
      </c>
    </row>
    <row r="121" spans="1:7" ht="12.75">
      <c r="A121" t="s">
        <v>19</v>
      </c>
      <c r="D121" s="26">
        <f>Invoerblad!D107</f>
        <v>0</v>
      </c>
      <c r="E121" t="s">
        <v>18</v>
      </c>
      <c r="G121" t="s">
        <v>12</v>
      </c>
    </row>
    <row r="122" spans="1:5" ht="12.75">
      <c r="A122" t="s">
        <v>57</v>
      </c>
      <c r="D122" s="56">
        <f>Invoerblad!D108</f>
        <v>0.001</v>
      </c>
      <c r="E122" t="s">
        <v>18</v>
      </c>
    </row>
    <row r="123" spans="1:6" ht="12.75">
      <c r="A123" t="s">
        <v>58</v>
      </c>
      <c r="C123">
        <f>Invoerblad!C109</f>
        <v>0</v>
      </c>
      <c r="E123" t="s">
        <v>10</v>
      </c>
      <c r="F123" s="26">
        <f>Invoerblad!F109</f>
        <v>0</v>
      </c>
    </row>
    <row r="125" ht="12.75">
      <c r="A125" s="4" t="s">
        <v>77</v>
      </c>
    </row>
    <row r="127" ht="12.75">
      <c r="A127" s="1" t="s">
        <v>78</v>
      </c>
    </row>
    <row r="129" spans="1:7" ht="12.75">
      <c r="A129" t="s">
        <v>4</v>
      </c>
      <c r="B129" s="60">
        <f>Invoerblad!B115</f>
        <v>0</v>
      </c>
      <c r="D129" t="s">
        <v>28</v>
      </c>
      <c r="F129" s="56">
        <f>Invoerblad!F115</f>
        <v>0</v>
      </c>
      <c r="G129" t="s">
        <v>29</v>
      </c>
    </row>
    <row r="131" ht="12.75">
      <c r="A131" s="1" t="s">
        <v>79</v>
      </c>
    </row>
    <row r="133" spans="1:7" ht="12.75">
      <c r="A133" t="s">
        <v>4</v>
      </c>
      <c r="B133" s="60">
        <f>Invoerblad!B119</f>
        <v>0</v>
      </c>
      <c r="D133" t="s">
        <v>28</v>
      </c>
      <c r="F133" s="56">
        <f>Invoerblad!F119</f>
        <v>0</v>
      </c>
      <c r="G133" t="s">
        <v>29</v>
      </c>
    </row>
    <row r="135" spans="1:2" ht="12.75">
      <c r="A135" s="1" t="s">
        <v>196</v>
      </c>
      <c r="B135" t="s">
        <v>197</v>
      </c>
    </row>
    <row r="137" spans="1:7" ht="12.75">
      <c r="A137" t="s">
        <v>4</v>
      </c>
      <c r="B137" s="60">
        <f>Invoerblad!B123</f>
        <v>0</v>
      </c>
      <c r="D137" t="s">
        <v>28</v>
      </c>
      <c r="F137" s="56">
        <f>Invoerblad!F123</f>
        <v>0</v>
      </c>
      <c r="G137" t="s">
        <v>29</v>
      </c>
    </row>
    <row r="139" ht="12.75">
      <c r="A139" s="38" t="s">
        <v>60</v>
      </c>
    </row>
    <row r="140" ht="12.75">
      <c r="A140" s="38"/>
    </row>
    <row r="141" spans="1:4" ht="12.75">
      <c r="A141" s="1" t="s">
        <v>43</v>
      </c>
      <c r="C141" s="26">
        <f>Invoerblad!C82</f>
        <v>0</v>
      </c>
      <c r="D141" t="s">
        <v>18</v>
      </c>
    </row>
    <row r="143" spans="1:4" ht="12.75">
      <c r="A143" s="1" t="s">
        <v>44</v>
      </c>
      <c r="C143" s="26">
        <f>Invoerblad!C84</f>
        <v>0</v>
      </c>
      <c r="D143" t="s">
        <v>18</v>
      </c>
    </row>
    <row r="145" spans="1:4" ht="12.75">
      <c r="A145" s="1" t="s">
        <v>60</v>
      </c>
      <c r="C145" s="26">
        <f>(C143-C141)</f>
        <v>0</v>
      </c>
      <c r="D145" t="s">
        <v>18</v>
      </c>
    </row>
    <row r="147" ht="12.75">
      <c r="A147" s="1" t="s">
        <v>389</v>
      </c>
    </row>
    <row r="148" spans="1:8" ht="12.75">
      <c r="A148" s="100" t="s">
        <v>391</v>
      </c>
      <c r="B148" s="100" t="s">
        <v>393</v>
      </c>
      <c r="C148" s="100" t="s">
        <v>395</v>
      </c>
      <c r="D148" s="100" t="s">
        <v>396</v>
      </c>
      <c r="E148" s="100" t="s">
        <v>397</v>
      </c>
      <c r="F148" s="100" t="s">
        <v>398</v>
      </c>
      <c r="H148" t="s">
        <v>400</v>
      </c>
    </row>
    <row r="149" spans="1:8" ht="12.75">
      <c r="A149" s="100"/>
      <c r="B149" s="100" t="s">
        <v>392</v>
      </c>
      <c r="C149" s="100" t="s">
        <v>394</v>
      </c>
      <c r="D149" s="100"/>
      <c r="E149" s="100"/>
      <c r="F149" s="100"/>
      <c r="H149" t="s">
        <v>401</v>
      </c>
    </row>
    <row r="150" spans="1:8" ht="12.75">
      <c r="A150" s="28">
        <f>IF(C145=0,0,IF(C145&lt;0,0,IF(H155=0,0,IF(H155=1,0,IF(H155=2,0,IF(H155=3,VLOOKUP(C145,'Opzoekings tabellen'!A250:G299,2)))))))</f>
        <v>0</v>
      </c>
      <c r="B150" s="28">
        <f>IF(C145=0,0,IF(C145&lt;0,0,IF(H155=0,0,IF(H155=1,0,IF(H155=2,0,IF(H155=3,VLOOKUP(C145,'Opzoekings tabellen'!A250:G299,3)))))))</f>
        <v>0</v>
      </c>
      <c r="C150" s="26">
        <f>IF(C145=0,0,IF(C145&lt;0,0,IF(H155=0,0,IF(H155=1,0,IF(H155=2,0,IF(H155=3,VLOOKUP(C145,'Opzoekings tabellen'!A250:G299,4)))))))</f>
        <v>0</v>
      </c>
      <c r="D150" s="26">
        <f>IF(C145=0,0,IF(C145&lt;0,0,IF(H155=0,0,IF(H155=1,0,IF(H155=2,0,IF(H155=3,VLOOKUP(C145,'Opzoekings tabellen'!A250:G299,5)))))))</f>
        <v>0</v>
      </c>
      <c r="E150" s="26">
        <f>IF(C145=0,0,IF(C145&lt;0,0,IF(H155=0,0,IF(H155=1,0,IF(H155=2,0,IF(H155=3,VLOOKUP(C145,'Opzoekings tabellen'!A250:G299,6)))))))</f>
        <v>0</v>
      </c>
      <c r="F150" s="28">
        <f>IF(C145=0,0,IF(C145&lt;0,0,IF(H155=0,0,IF(H155=1,0,IF(H155=2,0,IF(H155=3,VLOOKUP(C145,'Opzoekings tabellen'!A250:G299,7)))))))</f>
        <v>0</v>
      </c>
      <c r="H150" t="s">
        <v>405</v>
      </c>
    </row>
    <row r="152" spans="2:8" ht="12.75">
      <c r="B152" s="108" t="s">
        <v>404</v>
      </c>
      <c r="C152" s="114"/>
      <c r="D152" s="114"/>
      <c r="E152" s="114"/>
      <c r="F152" s="114"/>
      <c r="G152" s="114"/>
      <c r="H152" s="115"/>
    </row>
    <row r="153" spans="2:8" ht="12.75">
      <c r="B153" s="116"/>
      <c r="C153" s="89"/>
      <c r="D153" s="89"/>
      <c r="E153" s="89"/>
      <c r="F153" s="89"/>
      <c r="G153" s="89"/>
      <c r="H153" s="90"/>
    </row>
    <row r="154" ht="12.75" customHeight="1"/>
    <row r="155" ht="12.75" customHeight="1">
      <c r="H155" s="26">
        <v>0</v>
      </c>
    </row>
    <row r="156" spans="3:8" ht="12.75" customHeight="1">
      <c r="C156" s="100" t="s">
        <v>395</v>
      </c>
      <c r="D156" s="100" t="s">
        <v>393</v>
      </c>
      <c r="E156" s="100" t="s">
        <v>391</v>
      </c>
      <c r="G156" s="108" t="s">
        <v>403</v>
      </c>
      <c r="H156" s="109"/>
    </row>
    <row r="157" spans="1:8" ht="12.75" customHeight="1">
      <c r="A157" t="s">
        <v>35</v>
      </c>
      <c r="C157" s="100"/>
      <c r="D157" s="100"/>
      <c r="E157" s="100"/>
      <c r="G157" s="110"/>
      <c r="H157" s="111"/>
    </row>
    <row r="158" spans="3:8" ht="12.75" customHeight="1">
      <c r="C158" s="26">
        <f>IF(C145=0,0,IF(C145&lt;0,0,IF(H155=3,0,IF(H155=0,0,IF(H155=2,0,IF(H155=1,VLOOKUP(C145,'Opzoekings tabellen'!A306:D355,2)))))))</f>
        <v>0</v>
      </c>
      <c r="D158" s="26">
        <f>IF(C145=0,0,IF(C145&lt;0,0,IF(H155=3,0,IF(H155=0,0,IF(H155=2,0,IF(H155=1,VLOOKUP(C145,'Opzoekings tabellen'!A306:D355,3)))))))</f>
        <v>0</v>
      </c>
      <c r="E158" s="26">
        <f>IF(C145=0,0,IF(C145&lt;0,0,IF(H155=3,0,IF(H155=0,0,IF(H155=2,0,IF(H155=1,VLOOKUP(C145,'Opzoekings tabellen'!A306:D355,4,)))))))</f>
        <v>0</v>
      </c>
      <c r="G158" s="110"/>
      <c r="H158" s="111"/>
    </row>
    <row r="159" spans="7:8" ht="12.75" customHeight="1">
      <c r="G159" s="110"/>
      <c r="H159" s="111"/>
    </row>
    <row r="160" spans="3:8" ht="12.75">
      <c r="C160" s="100" t="s">
        <v>394</v>
      </c>
      <c r="D160" s="100" t="s">
        <v>393</v>
      </c>
      <c r="E160" s="100" t="s">
        <v>391</v>
      </c>
      <c r="G160" s="110"/>
      <c r="H160" s="111"/>
    </row>
    <row r="161" spans="1:8" ht="12.75" customHeight="1">
      <c r="A161" t="s">
        <v>390</v>
      </c>
      <c r="C161" s="100"/>
      <c r="D161" s="100"/>
      <c r="E161" s="100"/>
      <c r="G161" s="112"/>
      <c r="H161" s="113"/>
    </row>
    <row r="162" spans="3:5" ht="12.75">
      <c r="C162" s="26">
        <f>IF(C145=0,0,IF(C145&lt;0,0,IF(H155=3,0,IF(H155=0,0,IF(H155=1,0,IF(H155=2,VLOOKUP(C145,'Opzoekings tabellen'!A306:H355,6)))))))</f>
        <v>0</v>
      </c>
      <c r="D162" s="26">
        <f>IF(C145=0,0,IF(C145&lt;0,0,IF(H155=3,0,IF(H155=0,0,IF(H155=1,0,IF(H155=2,VLOOKUP(C145,'Opzoekings tabellen'!A306:H355,7)))))))</f>
        <v>0</v>
      </c>
      <c r="E162" s="26">
        <f>IF(C145=0,0,IF(C145&lt;0,0,IF(H155=3,0,IF(H155=0,0,IF(H155=1,0,IF(H155=2,VLOOKUP(C145,'Opzoekings tabellen'!A306:H355,8)))))))</f>
        <v>0</v>
      </c>
    </row>
    <row r="165" spans="1:6" ht="12.75">
      <c r="A165" s="1" t="s">
        <v>399</v>
      </c>
      <c r="F165">
        <f>IF(H155=0,0,IF(H155=3,"Gewone zuren",IF(H155=1,"Gemengde zuren A",IF(H155=2,"Gemengde zuren B"))))</f>
        <v>0</v>
      </c>
    </row>
    <row r="166" spans="3:9" ht="12.75">
      <c r="C166" s="26">
        <f>IF(H155=3,C150,IF(H155=1,C158,IF(H155=2,C162)))*E102</f>
        <v>0</v>
      </c>
      <c r="D166" t="s">
        <v>62</v>
      </c>
      <c r="I166" t="s">
        <v>88</v>
      </c>
    </row>
    <row r="167" spans="3:4" ht="12.75">
      <c r="C167" s="28">
        <f>IF(H155=3,B150,IF(H155=1,D158,IF(H155=2,D162)))*E102</f>
        <v>0</v>
      </c>
      <c r="D167" t="s">
        <v>63</v>
      </c>
    </row>
    <row r="168" spans="3:4" ht="12.75">
      <c r="C168" s="28">
        <f>IF(H155=3,A150,IF(H155=1,E158,IF(H155=2,E162)))*E102</f>
        <v>0</v>
      </c>
      <c r="D168" t="s">
        <v>64</v>
      </c>
    </row>
    <row r="170" spans="2:5" ht="12.75">
      <c r="B170" t="s">
        <v>198</v>
      </c>
      <c r="C170" s="37">
        <v>0.5</v>
      </c>
      <c r="D170" s="26">
        <f>IF(H155=3,D150,IF(H155=1,D150,IF(H155=2,D150)))*E102</f>
        <v>0</v>
      </c>
      <c r="E170" t="s">
        <v>220</v>
      </c>
    </row>
    <row r="171" spans="3:5" ht="12.75">
      <c r="C171" s="37">
        <v>0.8</v>
      </c>
      <c r="D171" s="26">
        <f>IF(H155=3,E150,IF(H155=1,E150,IF(H155=2,E150)))*E102</f>
        <v>0</v>
      </c>
      <c r="E171" t="s">
        <v>220</v>
      </c>
    </row>
    <row r="172" spans="3:5" ht="12.75">
      <c r="C172" s="37">
        <v>0.9</v>
      </c>
      <c r="D172" s="56">
        <f>IF(H155=3,F150,IF(H155=1,F150,IF(H155=2,F150)))*E102</f>
        <v>0</v>
      </c>
      <c r="E172" t="s">
        <v>220</v>
      </c>
    </row>
    <row r="174" ht="12.75">
      <c r="A174" s="38" t="s">
        <v>402</v>
      </c>
    </row>
    <row r="176" spans="3:7" ht="12.75">
      <c r="C176" s="101" t="s">
        <v>412</v>
      </c>
      <c r="D176" s="102"/>
      <c r="E176" s="102"/>
      <c r="F176" s="102"/>
      <c r="G176" s="103"/>
    </row>
    <row r="178" spans="1:6" ht="12.75">
      <c r="A178" t="s">
        <v>406</v>
      </c>
      <c r="E178" s="26">
        <f>Invoerblad!E138</f>
        <v>0</v>
      </c>
      <c r="F178" t="s">
        <v>40</v>
      </c>
    </row>
    <row r="180" spans="1:6" ht="12.75">
      <c r="A180" t="s">
        <v>407</v>
      </c>
      <c r="E180" s="26">
        <f>Invoerblad!E139</f>
        <v>0</v>
      </c>
      <c r="F180" t="s">
        <v>40</v>
      </c>
    </row>
    <row r="182" spans="1:6" ht="12.75">
      <c r="A182" t="s">
        <v>408</v>
      </c>
      <c r="E182" s="26">
        <f>Invoerblad!E140</f>
        <v>0</v>
      </c>
      <c r="F182" t="s">
        <v>18</v>
      </c>
    </row>
    <row r="184" spans="1:6" ht="12.75">
      <c r="A184" t="s">
        <v>409</v>
      </c>
      <c r="E184" s="26">
        <f>Invoerblad!E141</f>
        <v>0</v>
      </c>
      <c r="F184" t="s">
        <v>18</v>
      </c>
    </row>
    <row r="186" spans="1:7" ht="12.75">
      <c r="A186" t="s">
        <v>410</v>
      </c>
      <c r="C186" s="26">
        <f>(E178+E180)</f>
        <v>0</v>
      </c>
      <c r="D186" t="s">
        <v>411</v>
      </c>
      <c r="F186" s="28">
        <f>IF(E178=0,0,((E178*E182)+(E180*E184))/C186)</f>
        <v>0</v>
      </c>
      <c r="G186" t="s">
        <v>18</v>
      </c>
    </row>
    <row r="189" ht="12.75">
      <c r="A189" s="38" t="s">
        <v>234</v>
      </c>
    </row>
    <row r="191" spans="1:7" ht="12.75">
      <c r="A191" s="1" t="s">
        <v>235</v>
      </c>
      <c r="F191" s="26">
        <f>C499</f>
        <v>0</v>
      </c>
      <c r="G191" t="s">
        <v>8</v>
      </c>
    </row>
    <row r="193" spans="1:7" ht="12.75">
      <c r="A193" s="1" t="s">
        <v>236</v>
      </c>
      <c r="F193" s="28">
        <f>C519</f>
        <v>0</v>
      </c>
      <c r="G193" t="s">
        <v>20</v>
      </c>
    </row>
    <row r="195" spans="1:7" ht="12.75">
      <c r="A195" s="1" t="s">
        <v>237</v>
      </c>
      <c r="F195" s="28">
        <f>C501</f>
        <v>0</v>
      </c>
      <c r="G195" t="s">
        <v>18</v>
      </c>
    </row>
    <row r="197" spans="1:7" ht="12.75">
      <c r="A197" s="1" t="s">
        <v>424</v>
      </c>
      <c r="F197" s="28">
        <v>0</v>
      </c>
      <c r="G197" t="s">
        <v>18</v>
      </c>
    </row>
    <row r="199" spans="1:5" ht="12.75">
      <c r="A199" s="1" t="s">
        <v>238</v>
      </c>
      <c r="D199" s="26">
        <f>F266</f>
        <v>0</v>
      </c>
      <c r="E199" t="s">
        <v>18</v>
      </c>
    </row>
    <row r="200" ht="12.75">
      <c r="E200" s="26"/>
    </row>
    <row r="201" spans="1:6" ht="12.75">
      <c r="A201" s="1" t="s">
        <v>239</v>
      </c>
      <c r="E201" s="56">
        <f>IF(F191=0,0,IF(Invoerblad!D98&gt;Invoerblad!D105,Invoerblad!D101,IF(Invoerblad!D105&gt;Invoerblad!D98,Invoerblad!D108,Invoerblad!D101)))</f>
        <v>0</v>
      </c>
      <c r="F201" t="s">
        <v>18</v>
      </c>
    </row>
    <row r="203" ht="12.75">
      <c r="A203" s="38" t="s">
        <v>240</v>
      </c>
    </row>
    <row r="205" spans="1:9" ht="12.75">
      <c r="A205" s="105" t="s">
        <v>241</v>
      </c>
      <c r="B205" s="106"/>
      <c r="C205" s="107"/>
      <c r="D205" s="105" t="s">
        <v>243</v>
      </c>
      <c r="E205" s="106"/>
      <c r="F205" s="107"/>
      <c r="G205" s="105" t="s">
        <v>244</v>
      </c>
      <c r="H205" s="106"/>
      <c r="I205" s="107"/>
    </row>
    <row r="206" spans="1:9" ht="12.75">
      <c r="A206" s="5" t="s">
        <v>245</v>
      </c>
      <c r="B206" s="41"/>
      <c r="C206" s="6"/>
      <c r="D206" s="5" t="s">
        <v>251</v>
      </c>
      <c r="E206" s="41" t="s">
        <v>252</v>
      </c>
      <c r="F206" s="6"/>
      <c r="G206" s="5"/>
      <c r="H206" s="36">
        <f>(D64*1.2)/10</f>
        <v>0</v>
      </c>
      <c r="I206" s="6" t="s">
        <v>29</v>
      </c>
    </row>
    <row r="207" spans="1:9" ht="12.75">
      <c r="A207" s="7" t="s">
        <v>242</v>
      </c>
      <c r="B207" s="34"/>
      <c r="C207" s="8"/>
      <c r="D207" s="5" t="s">
        <v>251</v>
      </c>
      <c r="E207" s="34" t="s">
        <v>253</v>
      </c>
      <c r="F207" s="8"/>
      <c r="G207" s="7"/>
      <c r="H207" s="66">
        <f>(F64*1.2)/10</f>
        <v>0</v>
      </c>
      <c r="I207" s="6" t="s">
        <v>29</v>
      </c>
    </row>
    <row r="208" spans="1:9" ht="12.75">
      <c r="A208" s="31" t="s">
        <v>246</v>
      </c>
      <c r="B208" s="32"/>
      <c r="C208" s="33"/>
      <c r="D208" s="5" t="s">
        <v>251</v>
      </c>
      <c r="E208" s="32" t="s">
        <v>254</v>
      </c>
      <c r="F208" s="33"/>
      <c r="G208" s="31"/>
      <c r="H208" s="67">
        <f>(E102*3)/10</f>
        <v>0</v>
      </c>
      <c r="I208" s="6" t="s">
        <v>29</v>
      </c>
    </row>
    <row r="209" spans="1:9" ht="12.75">
      <c r="A209" s="5" t="s">
        <v>247</v>
      </c>
      <c r="B209" s="41"/>
      <c r="C209" s="6"/>
      <c r="D209" s="5" t="s">
        <v>251</v>
      </c>
      <c r="E209" s="41" t="s">
        <v>255</v>
      </c>
      <c r="F209" s="6"/>
      <c r="G209" s="5"/>
      <c r="H209" s="36">
        <f>(E102*10)/10</f>
        <v>0</v>
      </c>
      <c r="I209" s="6" t="s">
        <v>29</v>
      </c>
    </row>
    <row r="210" spans="1:9" ht="12.75">
      <c r="A210" s="9" t="s">
        <v>248</v>
      </c>
      <c r="B210" s="35"/>
      <c r="C210" s="10"/>
      <c r="D210" s="5" t="s">
        <v>251</v>
      </c>
      <c r="E210" s="35" t="s">
        <v>256</v>
      </c>
      <c r="F210" s="10"/>
      <c r="G210" s="9"/>
      <c r="H210" s="42">
        <f>(D100*8)/10</f>
        <v>0</v>
      </c>
      <c r="I210" s="6" t="s">
        <v>29</v>
      </c>
    </row>
    <row r="211" spans="1:9" ht="12.75">
      <c r="A211" s="7" t="s">
        <v>249</v>
      </c>
      <c r="B211" s="34"/>
      <c r="C211" s="8"/>
      <c r="D211" s="5" t="s">
        <v>251</v>
      </c>
      <c r="E211" s="34" t="s">
        <v>257</v>
      </c>
      <c r="F211" s="8"/>
      <c r="G211" s="7"/>
      <c r="H211" s="66">
        <f>(E102*5)/10</f>
        <v>0</v>
      </c>
      <c r="I211" s="6" t="s">
        <v>29</v>
      </c>
    </row>
    <row r="212" spans="1:9" ht="12.75">
      <c r="A212" s="5" t="s">
        <v>250</v>
      </c>
      <c r="B212" s="41"/>
      <c r="C212" s="6"/>
      <c r="D212" s="5" t="s">
        <v>251</v>
      </c>
      <c r="E212" s="41" t="s">
        <v>257</v>
      </c>
      <c r="F212" s="6"/>
      <c r="G212" s="5"/>
      <c r="H212" s="36">
        <f>(E102*5)/10</f>
        <v>0</v>
      </c>
      <c r="I212" s="6" t="s">
        <v>29</v>
      </c>
    </row>
    <row r="215" ht="12.75">
      <c r="A215" s="38" t="s">
        <v>80</v>
      </c>
    </row>
    <row r="217" spans="1:4" ht="12.75">
      <c r="A217" t="s">
        <v>81</v>
      </c>
      <c r="C217" s="26">
        <f>Invoerblad!C147</f>
        <v>0</v>
      </c>
      <c r="D217" t="s">
        <v>29</v>
      </c>
    </row>
    <row r="218" spans="1:4" ht="12.75">
      <c r="A218" t="s">
        <v>82</v>
      </c>
      <c r="C218" s="26">
        <f>Invoerblad!C148</f>
        <v>0</v>
      </c>
      <c r="D218" t="s">
        <v>29</v>
      </c>
    </row>
    <row r="219" spans="1:4" ht="12.75">
      <c r="A219" t="s">
        <v>83</v>
      </c>
      <c r="C219" s="26">
        <f>Invoerblad!C149</f>
        <v>0</v>
      </c>
      <c r="D219" t="s">
        <v>29</v>
      </c>
    </row>
    <row r="220" spans="1:4" ht="12.75">
      <c r="A220" t="s">
        <v>84</v>
      </c>
      <c r="C220" s="26">
        <f>Invoerblad!C150</f>
        <v>0</v>
      </c>
      <c r="D220" t="s">
        <v>29</v>
      </c>
    </row>
    <row r="221" spans="1:4" ht="12.75">
      <c r="A221" t="s">
        <v>85</v>
      </c>
      <c r="C221" s="26">
        <f>Invoerblad!C151</f>
        <v>0</v>
      </c>
      <c r="D221" t="s">
        <v>29</v>
      </c>
    </row>
    <row r="222" spans="1:9" ht="12.75">
      <c r="A222" t="s">
        <v>87</v>
      </c>
      <c r="C222" s="26">
        <f>Invoerblad!C152</f>
        <v>0</v>
      </c>
      <c r="D222" t="s">
        <v>29</v>
      </c>
      <c r="I222" t="s">
        <v>102</v>
      </c>
    </row>
    <row r="223" spans="1:4" ht="12.75">
      <c r="A223" t="s">
        <v>86</v>
      </c>
      <c r="C223" s="26">
        <f>Invoerblad!C153</f>
        <v>0</v>
      </c>
      <c r="D223" t="s">
        <v>29</v>
      </c>
    </row>
    <row r="226" ht="12.75">
      <c r="A226" s="39" t="s">
        <v>89</v>
      </c>
    </row>
    <row r="228" spans="1:8" ht="12.75">
      <c r="A228" s="1" t="s">
        <v>4</v>
      </c>
      <c r="B228" s="60">
        <f>Invoerblad!B158</f>
        <v>0</v>
      </c>
      <c r="C228" s="1" t="s">
        <v>90</v>
      </c>
      <c r="D228" s="60">
        <f>Invoerblad!D158</f>
        <v>0</v>
      </c>
      <c r="E228" s="1" t="s">
        <v>91</v>
      </c>
      <c r="H228" s="60">
        <f>Invoerblad!H158</f>
        <v>0</v>
      </c>
    </row>
    <row r="230" spans="1:6" ht="12.75">
      <c r="A230" s="1" t="s">
        <v>92</v>
      </c>
      <c r="E230" s="61">
        <f>Invoerblad!E160</f>
        <v>0</v>
      </c>
      <c r="F230" t="s">
        <v>22</v>
      </c>
    </row>
    <row r="232" spans="1:5" ht="12.75">
      <c r="A232" s="1" t="s">
        <v>24</v>
      </c>
      <c r="D232" s="26">
        <f>Invoerblad!D162</f>
        <v>0</v>
      </c>
      <c r="E232" t="s">
        <v>25</v>
      </c>
    </row>
    <row r="235" ht="12.75">
      <c r="A235" s="39" t="s">
        <v>93</v>
      </c>
    </row>
    <row r="237" spans="1:4" ht="12.75">
      <c r="A237" s="1" t="s">
        <v>91</v>
      </c>
      <c r="D237" s="60">
        <f>Invoerblad!D169</f>
        <v>0</v>
      </c>
    </row>
    <row r="238" spans="1:5" ht="12.75">
      <c r="A238" s="1" t="s">
        <v>94</v>
      </c>
      <c r="D238">
        <f>Invoerblad!D171</f>
        <v>0</v>
      </c>
      <c r="E238" t="s">
        <v>95</v>
      </c>
    </row>
    <row r="240" ht="12.75">
      <c r="A240" s="1" t="s">
        <v>96</v>
      </c>
    </row>
    <row r="242" spans="1:6" ht="12.75">
      <c r="A242" t="s">
        <v>97</v>
      </c>
      <c r="E242" s="26">
        <f>Invoerblad!E175</f>
        <v>0</v>
      </c>
      <c r="F242" t="s">
        <v>16</v>
      </c>
    </row>
    <row r="244" spans="1:6" ht="12.75">
      <c r="A244" t="s">
        <v>99</v>
      </c>
      <c r="E244" s="26">
        <f>Invoerblad!E177</f>
        <v>0</v>
      </c>
      <c r="F244" t="s">
        <v>16</v>
      </c>
    </row>
    <row r="246" spans="1:6" ht="12.75">
      <c r="A246" t="s">
        <v>98</v>
      </c>
      <c r="E246" s="26">
        <f>Invoerblad!E179</f>
        <v>0</v>
      </c>
      <c r="F246" t="s">
        <v>18</v>
      </c>
    </row>
    <row r="248" spans="1:6" ht="12.75">
      <c r="A248" t="s">
        <v>100</v>
      </c>
      <c r="E248" s="26">
        <f>Invoerblad!E181</f>
        <v>0</v>
      </c>
      <c r="F248" t="s">
        <v>18</v>
      </c>
    </row>
    <row r="250" spans="1:7" ht="12.75">
      <c r="A250" s="1" t="s">
        <v>109</v>
      </c>
      <c r="F250" s="26">
        <v>0</v>
      </c>
      <c r="G250" t="s">
        <v>40</v>
      </c>
    </row>
    <row r="252" ht="12.75">
      <c r="A252" s="1"/>
    </row>
    <row r="256" ht="12.75">
      <c r="A256" s="39" t="s">
        <v>258</v>
      </c>
    </row>
    <row r="258" spans="1:8" ht="12.75">
      <c r="A258" t="s">
        <v>259</v>
      </c>
      <c r="C258" s="88">
        <f>IF(F197&gt;0,F197,F195)</f>
        <v>0</v>
      </c>
      <c r="G258" s="59">
        <f>IF(C258=0,0,IF(E260&gt;C262,(E260-C262),IF(C262&gt;E260,(C262-E260))))</f>
        <v>0</v>
      </c>
      <c r="H258" t="s">
        <v>40</v>
      </c>
    </row>
    <row r="260" ht="12.75" customHeight="1">
      <c r="E260" s="58">
        <f>(IF(C96&gt;F195,0,C96))</f>
        <v>0</v>
      </c>
    </row>
    <row r="262" spans="1:8" ht="12.75">
      <c r="A262" t="s">
        <v>260</v>
      </c>
      <c r="C262" s="59">
        <f>IF(Invoerblad!D108&gt;Invoerblad!D101,Invoerblad!D108,Invoerblad!D101)</f>
        <v>0.001</v>
      </c>
      <c r="G262" s="88">
        <f>IF(C258=0,0,IF(E260&gt;C258,E260-C258,IF(C258&gt;E260,C258-E260)))</f>
        <v>0</v>
      </c>
      <c r="H262" t="s">
        <v>40</v>
      </c>
    </row>
    <row r="264" spans="1:7" ht="12.75">
      <c r="A264" s="1" t="s">
        <v>261</v>
      </c>
      <c r="F264" s="28">
        <f>F193</f>
        <v>0</v>
      </c>
      <c r="G264" t="s">
        <v>20</v>
      </c>
    </row>
    <row r="266" spans="5:7" ht="12.75">
      <c r="E266" s="26" t="s">
        <v>264</v>
      </c>
      <c r="F266" s="42">
        <f>IF(C258=0,0,IF(C258&gt;10,-30,IF(C258&gt;6,-25,IF(C258&lt;=6,-20))))</f>
        <v>0</v>
      </c>
      <c r="G266" t="s">
        <v>262</v>
      </c>
    </row>
    <row r="268" spans="6:7" ht="12.75">
      <c r="F268" s="28">
        <f>F266+F264</f>
        <v>0</v>
      </c>
      <c r="G268" t="s">
        <v>263</v>
      </c>
    </row>
    <row r="270" ht="12.75">
      <c r="A270" s="38" t="s">
        <v>265</v>
      </c>
    </row>
    <row r="272" spans="1:7" ht="12.75">
      <c r="A272" s="56">
        <f>G258</f>
        <v>0</v>
      </c>
      <c r="B272" t="s">
        <v>266</v>
      </c>
      <c r="C272" s="28">
        <f>G262</f>
        <v>0</v>
      </c>
      <c r="D272" t="s">
        <v>267</v>
      </c>
      <c r="F272" s="100" t="s">
        <v>268</v>
      </c>
      <c r="G272" s="68">
        <f>G262</f>
        <v>0</v>
      </c>
    </row>
    <row r="273" spans="6:7" ht="12.75">
      <c r="F273" s="100"/>
      <c r="G273" s="56">
        <f>G258</f>
        <v>0</v>
      </c>
    </row>
    <row r="275" spans="1:9" ht="12.75">
      <c r="A275" s="91">
        <f>IF(F250&gt;F191,F250,F191)</f>
        <v>0</v>
      </c>
      <c r="B275" s="91" t="s">
        <v>269</v>
      </c>
      <c r="C275" s="42">
        <f>A275</f>
        <v>0</v>
      </c>
      <c r="D275" s="42" t="s">
        <v>270</v>
      </c>
      <c r="E275" s="68">
        <f>G272</f>
        <v>0</v>
      </c>
      <c r="F275" s="100" t="s">
        <v>271</v>
      </c>
      <c r="G275" s="104">
        <f>IF(C258=0,0,IF(E260=0,0,(C275*E275)/D276))</f>
        <v>0</v>
      </c>
      <c r="H275" s="100" t="s">
        <v>267</v>
      </c>
      <c r="I275" s="100"/>
    </row>
    <row r="276" spans="1:9" ht="12.75">
      <c r="A276" s="91"/>
      <c r="B276" s="91"/>
      <c r="D276" s="56">
        <f>G273</f>
        <v>0</v>
      </c>
      <c r="F276" s="100"/>
      <c r="G276" s="104"/>
      <c r="H276" s="100"/>
      <c r="I276" s="100"/>
    </row>
    <row r="278" ht="12.75">
      <c r="I278" t="s">
        <v>418</v>
      </c>
    </row>
    <row r="279" spans="1:9" ht="12.75">
      <c r="A279" s="1" t="s">
        <v>272</v>
      </c>
      <c r="C279" s="26">
        <f>A275</f>
        <v>0</v>
      </c>
      <c r="D279" t="s">
        <v>273</v>
      </c>
      <c r="E279" s="28">
        <f>G275</f>
        <v>0</v>
      </c>
      <c r="F279" t="s">
        <v>274</v>
      </c>
      <c r="H279" s="16">
        <f>C279+E279</f>
        <v>0</v>
      </c>
      <c r="I279" t="s">
        <v>275</v>
      </c>
    </row>
    <row r="282" ht="12.75">
      <c r="A282" s="38" t="s">
        <v>169</v>
      </c>
    </row>
    <row r="284" spans="1:5" ht="12.75">
      <c r="A284" s="26">
        <f>D98</f>
        <v>0</v>
      </c>
      <c r="B284" t="s">
        <v>276</v>
      </c>
      <c r="D284" s="26">
        <f>A284*17</f>
        <v>0</v>
      </c>
      <c r="E284" t="s">
        <v>20</v>
      </c>
    </row>
    <row r="286" spans="1:4" ht="12.75">
      <c r="A286" s="1" t="s">
        <v>277</v>
      </c>
      <c r="C286" s="26">
        <f>D284</f>
        <v>0</v>
      </c>
      <c r="D286" t="s">
        <v>20</v>
      </c>
    </row>
    <row r="287" spans="2:4" ht="12.75">
      <c r="B287" s="26" t="s">
        <v>270</v>
      </c>
      <c r="C287" s="68">
        <f>H279</f>
        <v>0</v>
      </c>
      <c r="D287" t="s">
        <v>40</v>
      </c>
    </row>
    <row r="288" spans="1:4" ht="12.75">
      <c r="A288" s="1" t="s">
        <v>279</v>
      </c>
      <c r="C288" s="28">
        <f>(C286*C287)/1000</f>
        <v>0</v>
      </c>
      <c r="D288" t="s">
        <v>278</v>
      </c>
    </row>
    <row r="290" spans="1:4" ht="12.75">
      <c r="A290" s="1" t="s">
        <v>280</v>
      </c>
      <c r="C290" s="57">
        <f>F268</f>
        <v>0</v>
      </c>
      <c r="D290" t="s">
        <v>20</v>
      </c>
    </row>
    <row r="291" spans="2:4" ht="12.75">
      <c r="B291" s="26" t="s">
        <v>270</v>
      </c>
      <c r="C291" s="42">
        <f>A275</f>
        <v>0</v>
      </c>
      <c r="D291" t="s">
        <v>40</v>
      </c>
    </row>
    <row r="292" spans="1:4" ht="12.75">
      <c r="A292" s="1" t="s">
        <v>279</v>
      </c>
      <c r="C292" s="28">
        <f>(C290*C291)/1000</f>
        <v>0</v>
      </c>
      <c r="D292" t="s">
        <v>278</v>
      </c>
    </row>
    <row r="295" ht="12.75">
      <c r="A295" s="1" t="s">
        <v>281</v>
      </c>
    </row>
    <row r="296" spans="3:4" ht="12.75">
      <c r="C296" s="28">
        <f>C288</f>
        <v>0</v>
      </c>
      <c r="D296" t="s">
        <v>282</v>
      </c>
    </row>
    <row r="297" spans="2:4" ht="12.75">
      <c r="B297" s="26" t="s">
        <v>264</v>
      </c>
      <c r="C297" s="68">
        <f>C292</f>
        <v>0</v>
      </c>
      <c r="D297" t="s">
        <v>283</v>
      </c>
    </row>
    <row r="298" spans="1:4" ht="12.75">
      <c r="A298" s="1" t="s">
        <v>279</v>
      </c>
      <c r="C298" s="28">
        <f>C296-C297</f>
        <v>0</v>
      </c>
      <c r="D298" t="s">
        <v>284</v>
      </c>
    </row>
    <row r="300" ht="12.75">
      <c r="A300" s="40" t="s">
        <v>285</v>
      </c>
    </row>
    <row r="302" ht="12.75">
      <c r="A302" s="1" t="s">
        <v>286</v>
      </c>
    </row>
    <row r="304" spans="4:5" ht="12.75">
      <c r="D304" s="28">
        <f>G275</f>
        <v>0</v>
      </c>
      <c r="E304" t="s">
        <v>40</v>
      </c>
    </row>
    <row r="305" spans="1:5" ht="12.75">
      <c r="A305" s="26" t="s">
        <v>264</v>
      </c>
      <c r="B305" s="28">
        <f>C298</f>
        <v>0</v>
      </c>
      <c r="C305" s="26" t="s">
        <v>287</v>
      </c>
      <c r="D305" s="68">
        <f>B305*0.6</f>
        <v>0</v>
      </c>
      <c r="E305" t="s">
        <v>288</v>
      </c>
    </row>
    <row r="307" spans="3:5" ht="12.75">
      <c r="C307" s="1" t="s">
        <v>279</v>
      </c>
      <c r="D307" s="28">
        <f>D304-D305</f>
        <v>0</v>
      </c>
      <c r="E307" t="s">
        <v>289</v>
      </c>
    </row>
    <row r="309" ht="12.75">
      <c r="A309" s="38" t="s">
        <v>290</v>
      </c>
    </row>
    <row r="311" spans="1:6" ht="12.75">
      <c r="A311" s="44" t="s">
        <v>105</v>
      </c>
      <c r="B311" s="105" t="s">
        <v>291</v>
      </c>
      <c r="C311" s="106"/>
      <c r="D311" s="107"/>
      <c r="E311" s="105" t="s">
        <v>292</v>
      </c>
      <c r="F311" s="107"/>
    </row>
    <row r="312" spans="1:6" ht="12.75">
      <c r="A312" s="86">
        <f>Invoerblad!B187</f>
        <v>0</v>
      </c>
      <c r="B312" s="105" t="s">
        <v>293</v>
      </c>
      <c r="C312" s="106"/>
      <c r="D312" s="107"/>
      <c r="E312" s="70">
        <f>$C$298/3</f>
        <v>0</v>
      </c>
      <c r="F312" s="43" t="s">
        <v>41</v>
      </c>
    </row>
    <row r="313" spans="1:6" ht="12.75">
      <c r="A313" s="86">
        <f>Invoerblad!B188</f>
        <v>0</v>
      </c>
      <c r="B313" s="105" t="s">
        <v>294</v>
      </c>
      <c r="C313" s="106"/>
      <c r="D313" s="107"/>
      <c r="E313" s="70">
        <f>$C$298/3</f>
        <v>0</v>
      </c>
      <c r="F313" s="29" t="s">
        <v>41</v>
      </c>
    </row>
    <row r="314" spans="1:6" ht="12.75">
      <c r="A314" s="87">
        <f>Invoerblad!B189</f>
        <v>0</v>
      </c>
      <c r="B314" s="105" t="s">
        <v>295</v>
      </c>
      <c r="C314" s="106"/>
      <c r="D314" s="107"/>
      <c r="E314" s="70">
        <f>$C$298/3</f>
        <v>0</v>
      </c>
      <c r="F314" s="12" t="s">
        <v>41</v>
      </c>
    </row>
    <row r="315" spans="1:6" ht="12.75">
      <c r="A315" s="45" t="s">
        <v>105</v>
      </c>
      <c r="B315" s="105" t="s">
        <v>296</v>
      </c>
      <c r="C315" s="106"/>
      <c r="D315" s="107"/>
      <c r="E315" s="105" t="s">
        <v>297</v>
      </c>
      <c r="F315" s="107"/>
    </row>
    <row r="316" spans="1:6" ht="12.75">
      <c r="A316" s="87">
        <f>Invoerblad!B191</f>
        <v>0</v>
      </c>
      <c r="B316" s="105" t="s">
        <v>298</v>
      </c>
      <c r="C316" s="106"/>
      <c r="D316" s="107"/>
      <c r="E316" s="65">
        <f>$D$307/3</f>
        <v>0</v>
      </c>
      <c r="F316" s="29" t="s">
        <v>40</v>
      </c>
    </row>
    <row r="317" spans="1:6" ht="12.75">
      <c r="A317" s="87">
        <f>Invoerblad!B192</f>
        <v>0</v>
      </c>
      <c r="B317" s="105" t="s">
        <v>299</v>
      </c>
      <c r="C317" s="106"/>
      <c r="D317" s="107"/>
      <c r="E317" s="65">
        <f>$D$307/3</f>
        <v>0</v>
      </c>
      <c r="F317" s="12" t="s">
        <v>40</v>
      </c>
    </row>
    <row r="318" spans="1:6" ht="12.75">
      <c r="A318" s="87">
        <f>Invoerblad!B193</f>
        <v>0</v>
      </c>
      <c r="B318" s="105" t="s">
        <v>300</v>
      </c>
      <c r="C318" s="106"/>
      <c r="D318" s="107"/>
      <c r="E318" s="65">
        <f>$D$307/3</f>
        <v>0</v>
      </c>
      <c r="F318" s="12" t="s">
        <v>40</v>
      </c>
    </row>
    <row r="321" ht="12.75">
      <c r="A321" s="38" t="s">
        <v>301</v>
      </c>
    </row>
    <row r="324" spans="2:9" ht="12.75">
      <c r="B324" s="46" t="s">
        <v>105</v>
      </c>
      <c r="C324" s="48" t="s">
        <v>106</v>
      </c>
      <c r="D324" s="47" t="s">
        <v>107</v>
      </c>
      <c r="E324" s="48" t="s">
        <v>108</v>
      </c>
      <c r="F324" s="105" t="s">
        <v>303</v>
      </c>
      <c r="G324" s="107"/>
      <c r="H324" s="105" t="s">
        <v>302</v>
      </c>
      <c r="I324" s="107"/>
    </row>
    <row r="325" spans="2:9" ht="12.75">
      <c r="B325" s="87">
        <f>Invoerblad!B198</f>
        <v>0</v>
      </c>
      <c r="C325" s="44">
        <f>Invoerblad!C198</f>
        <v>0</v>
      </c>
      <c r="D325" s="67">
        <f>Invoerblad!D198</f>
        <v>0</v>
      </c>
      <c r="E325" s="44">
        <f>Invoerblad!E198</f>
        <v>0</v>
      </c>
      <c r="F325" s="26">
        <f>Invoerblad!F198</f>
        <v>0</v>
      </c>
      <c r="G325" s="34" t="s">
        <v>40</v>
      </c>
      <c r="H325" s="63">
        <f>Invoerblad!H198</f>
        <v>0</v>
      </c>
      <c r="I325" s="33" t="s">
        <v>29</v>
      </c>
    </row>
    <row r="326" spans="2:9" ht="12.75">
      <c r="B326" s="87">
        <f>Invoerblad!B199</f>
        <v>0</v>
      </c>
      <c r="C326" s="58">
        <f>Invoerblad!C199</f>
        <v>0</v>
      </c>
      <c r="D326" s="36">
        <f>Invoerblad!D199</f>
        <v>0</v>
      </c>
      <c r="E326" s="58">
        <f>Invoerblad!E199</f>
        <v>0</v>
      </c>
      <c r="F326" s="55">
        <f>Invoerblad!F199</f>
        <v>0</v>
      </c>
      <c r="G326" s="6" t="s">
        <v>40</v>
      </c>
      <c r="H326" s="55">
        <f>Invoerblad!H199</f>
        <v>0</v>
      </c>
      <c r="I326" s="6" t="s">
        <v>29</v>
      </c>
    </row>
    <row r="327" spans="2:9" ht="12.75">
      <c r="B327" s="87">
        <f>Invoerblad!B200</f>
        <v>0</v>
      </c>
      <c r="C327" s="58">
        <f>Invoerblad!C200</f>
        <v>0</v>
      </c>
      <c r="D327" s="36">
        <f>Invoerblad!D200</f>
        <v>0</v>
      </c>
      <c r="E327" s="58">
        <f>Invoerblad!E200</f>
        <v>0</v>
      </c>
      <c r="F327" s="62">
        <f>Invoerblad!F200</f>
        <v>0</v>
      </c>
      <c r="G327" s="34" t="s">
        <v>40</v>
      </c>
      <c r="H327" s="55">
        <f>Invoerblad!H200</f>
        <v>0</v>
      </c>
      <c r="I327" s="6" t="s">
        <v>29</v>
      </c>
    </row>
    <row r="328" spans="2:9" ht="12.75">
      <c r="B328" s="87">
        <f>Invoerblad!B201</f>
        <v>0</v>
      </c>
      <c r="C328" s="69">
        <f>Invoerblad!C201</f>
        <v>0</v>
      </c>
      <c r="D328" s="42">
        <f>Invoerblad!D201</f>
        <v>0</v>
      </c>
      <c r="E328" s="69">
        <f>Invoerblad!E201</f>
        <v>0</v>
      </c>
      <c r="F328" s="55">
        <f>Invoerblad!F201</f>
        <v>0</v>
      </c>
      <c r="G328" s="6" t="s">
        <v>40</v>
      </c>
      <c r="H328" s="64">
        <f>Invoerblad!H201</f>
        <v>0</v>
      </c>
      <c r="I328" s="10" t="s">
        <v>29</v>
      </c>
    </row>
    <row r="329" spans="2:9" ht="12.75">
      <c r="B329" s="87">
        <f>Invoerblad!B202</f>
        <v>0</v>
      </c>
      <c r="C329" s="69">
        <f>Invoerblad!C202</f>
        <v>0</v>
      </c>
      <c r="D329" s="42">
        <f>Invoerblad!D202</f>
        <v>0</v>
      </c>
      <c r="E329" s="69">
        <f>Invoerblad!E202</f>
        <v>0</v>
      </c>
      <c r="F329" s="55">
        <f>Invoerblad!F202</f>
        <v>0</v>
      </c>
      <c r="G329" s="6" t="s">
        <v>40</v>
      </c>
      <c r="H329" s="64">
        <f>Invoerblad!H202</f>
        <v>0</v>
      </c>
      <c r="I329" s="10" t="s">
        <v>29</v>
      </c>
    </row>
    <row r="334" spans="1:9" ht="12.75">
      <c r="A334" s="39" t="s">
        <v>111</v>
      </c>
      <c r="I334" t="s">
        <v>229</v>
      </c>
    </row>
    <row r="336" spans="1:5" ht="12.75">
      <c r="A336" s="1" t="s">
        <v>112</v>
      </c>
      <c r="D336" t="s">
        <v>4</v>
      </c>
      <c r="E336" s="60">
        <f>Invoerblad!E206</f>
        <v>0</v>
      </c>
    </row>
    <row r="337" spans="1:5" ht="12.75">
      <c r="A337" s="1" t="s">
        <v>113</v>
      </c>
      <c r="D337" t="s">
        <v>4</v>
      </c>
      <c r="E337" s="60">
        <f>Invoerblad!E207</f>
        <v>0</v>
      </c>
    </row>
    <row r="338" spans="1:5" ht="12.75">
      <c r="A338" t="s">
        <v>115</v>
      </c>
      <c r="D338" s="26">
        <f>Invoerblad!D208</f>
        <v>0</v>
      </c>
      <c r="E338" t="s">
        <v>128</v>
      </c>
    </row>
    <row r="339" spans="1:5" ht="12.75">
      <c r="A339" t="s">
        <v>114</v>
      </c>
      <c r="D339" s="26">
        <f>Invoerblad!D209</f>
        <v>0</v>
      </c>
      <c r="E339" t="s">
        <v>128</v>
      </c>
    </row>
    <row r="340" spans="1:5" ht="12.75">
      <c r="A340" s="1" t="s">
        <v>117</v>
      </c>
      <c r="D340" t="s">
        <v>4</v>
      </c>
      <c r="E340" s="60">
        <f>Invoerblad!E210</f>
        <v>0</v>
      </c>
    </row>
    <row r="341" spans="1:5" ht="12.75">
      <c r="A341" t="s">
        <v>116</v>
      </c>
      <c r="D341" s="26">
        <f>Invoerblad!D211</f>
        <v>0</v>
      </c>
      <c r="E341" t="s">
        <v>128</v>
      </c>
    </row>
    <row r="342" spans="1:5" ht="12.75">
      <c r="A342" t="s">
        <v>114</v>
      </c>
      <c r="D342" s="26">
        <f>Invoerblad!D212</f>
        <v>0</v>
      </c>
      <c r="E342" t="s">
        <v>128</v>
      </c>
    </row>
    <row r="343" spans="1:5" ht="12.75">
      <c r="A343" s="1" t="s">
        <v>119</v>
      </c>
      <c r="B343" s="1"/>
      <c r="D343" t="s">
        <v>4</v>
      </c>
      <c r="E343" s="60">
        <f>Invoerblad!E213</f>
        <v>0</v>
      </c>
    </row>
    <row r="344" spans="1:5" ht="12.75">
      <c r="A344" t="s">
        <v>122</v>
      </c>
      <c r="D344" s="26">
        <f>Invoerblad!D214</f>
        <v>0</v>
      </c>
      <c r="E344" t="s">
        <v>29</v>
      </c>
    </row>
    <row r="345" spans="1:5" ht="12.75">
      <c r="A345" s="1" t="s">
        <v>118</v>
      </c>
      <c r="B345" s="1"/>
      <c r="D345" t="s">
        <v>4</v>
      </c>
      <c r="E345" s="60">
        <f>Invoerblad!E215</f>
        <v>0</v>
      </c>
    </row>
    <row r="346" spans="1:5" ht="12.75">
      <c r="A346" t="s">
        <v>123</v>
      </c>
      <c r="D346" s="26">
        <f>Invoerblad!D216</f>
        <v>0</v>
      </c>
      <c r="E346" t="s">
        <v>124</v>
      </c>
    </row>
    <row r="347" spans="1:5" ht="12.75">
      <c r="A347" s="1" t="s">
        <v>120</v>
      </c>
      <c r="B347" s="1"/>
      <c r="D347" t="s">
        <v>4</v>
      </c>
      <c r="E347" s="60">
        <f>Invoerblad!E217</f>
        <v>0</v>
      </c>
    </row>
    <row r="348" spans="1:5" ht="12.75">
      <c r="A348" t="s">
        <v>125</v>
      </c>
      <c r="D348" s="26">
        <f>Invoerblad!D218</f>
        <v>0</v>
      </c>
      <c r="E348" s="60" t="s">
        <v>126</v>
      </c>
    </row>
    <row r="349" spans="1:5" ht="12.75">
      <c r="A349" s="1" t="s">
        <v>121</v>
      </c>
      <c r="B349" s="1"/>
      <c r="D349" t="s">
        <v>4</v>
      </c>
      <c r="E349" s="26">
        <f>Invoerblad!E219</f>
        <v>0</v>
      </c>
    </row>
    <row r="350" spans="1:5" ht="12.75">
      <c r="A350" t="s">
        <v>127</v>
      </c>
      <c r="D350" s="26">
        <f>Invoerblad!D220</f>
        <v>0</v>
      </c>
      <c r="E350" t="s">
        <v>29</v>
      </c>
    </row>
    <row r="352" ht="12.75">
      <c r="A352" s="39" t="s">
        <v>129</v>
      </c>
    </row>
    <row r="354" spans="1:7" ht="12.75">
      <c r="A354" t="s">
        <v>4</v>
      </c>
      <c r="B354" s="60">
        <f>Invoerblad!B224</f>
        <v>0</v>
      </c>
      <c r="D354" s="26">
        <f>Invoerblad!D224</f>
        <v>0</v>
      </c>
      <c r="E354" t="s">
        <v>130</v>
      </c>
      <c r="F354" t="s">
        <v>131</v>
      </c>
      <c r="G354" s="26">
        <f>Invoerblad!G224</f>
        <v>0</v>
      </c>
    </row>
    <row r="355" spans="1:7" ht="12.75">
      <c r="A355" t="s">
        <v>4</v>
      </c>
      <c r="B355" s="60">
        <f>Invoerblad!B225</f>
        <v>0</v>
      </c>
      <c r="D355" s="26">
        <f>Invoerblad!D225</f>
        <v>0</v>
      </c>
      <c r="E355" t="s">
        <v>130</v>
      </c>
      <c r="F355" t="s">
        <v>131</v>
      </c>
      <c r="G355" s="26">
        <f>Invoerblad!G225</f>
        <v>0</v>
      </c>
    </row>
    <row r="356" spans="1:7" ht="12.75">
      <c r="A356" t="s">
        <v>4</v>
      </c>
      <c r="B356" s="60">
        <f>Invoerblad!B226</f>
        <v>0</v>
      </c>
      <c r="D356" s="26">
        <f>Invoerblad!D226</f>
        <v>0</v>
      </c>
      <c r="E356" t="s">
        <v>130</v>
      </c>
      <c r="F356" t="s">
        <v>131</v>
      </c>
      <c r="G356" s="26">
        <f>Invoerblad!G226</f>
        <v>0</v>
      </c>
    </row>
    <row r="359" ht="12.75">
      <c r="A359" s="39" t="s">
        <v>132</v>
      </c>
    </row>
    <row r="361" spans="1:5" ht="12.75">
      <c r="A361" t="s">
        <v>4</v>
      </c>
      <c r="B361" s="60">
        <f>Invoerblad!B231</f>
        <v>0</v>
      </c>
      <c r="D361" s="26">
        <f>Invoerblad!D231</f>
        <v>0</v>
      </c>
      <c r="E361" t="s">
        <v>133</v>
      </c>
    </row>
    <row r="362" spans="1:5" ht="12.75">
      <c r="A362" t="s">
        <v>4</v>
      </c>
      <c r="B362" s="60">
        <f>Invoerblad!B232</f>
        <v>0</v>
      </c>
      <c r="D362" s="26">
        <f>Invoerblad!D232</f>
        <v>0</v>
      </c>
      <c r="E362" t="s">
        <v>133</v>
      </c>
    </row>
    <row r="363" spans="1:5" ht="12.75">
      <c r="A363" t="s">
        <v>4</v>
      </c>
      <c r="B363" s="60">
        <f>Invoerblad!B233</f>
        <v>0</v>
      </c>
      <c r="D363" s="26">
        <f>Invoerblad!D233</f>
        <v>0</v>
      </c>
      <c r="E363" t="s">
        <v>133</v>
      </c>
    </row>
    <row r="364" spans="1:5" ht="12.75">
      <c r="A364" t="s">
        <v>4</v>
      </c>
      <c r="B364" s="60">
        <f>Invoerblad!B234</f>
        <v>0</v>
      </c>
      <c r="D364" s="26">
        <f>Invoerblad!D234</f>
        <v>0</v>
      </c>
      <c r="E364" t="s">
        <v>133</v>
      </c>
    </row>
    <row r="365" spans="1:5" ht="12.75">
      <c r="A365" t="s">
        <v>4</v>
      </c>
      <c r="B365" s="60">
        <f>Invoerblad!B235</f>
        <v>0</v>
      </c>
      <c r="D365" s="26">
        <f>Invoerblad!D235</f>
        <v>0</v>
      </c>
      <c r="E365" t="s">
        <v>133</v>
      </c>
    </row>
    <row r="367" ht="12.75">
      <c r="A367" s="1" t="s">
        <v>134</v>
      </c>
    </row>
    <row r="369" spans="1:7" ht="12.75">
      <c r="A369" t="s">
        <v>4</v>
      </c>
      <c r="B369" s="60">
        <f>Invoerblad!B240</f>
        <v>36568</v>
      </c>
      <c r="D369" t="s">
        <v>135</v>
      </c>
      <c r="F369" s="26">
        <f>Invoerblad!F240</f>
        <v>0</v>
      </c>
      <c r="G369" t="s">
        <v>136</v>
      </c>
    </row>
    <row r="370" spans="1:7" ht="12.75">
      <c r="A370" t="s">
        <v>4</v>
      </c>
      <c r="B370" s="60">
        <f>Invoerblad!B241</f>
        <v>0</v>
      </c>
      <c r="D370" t="s">
        <v>135</v>
      </c>
      <c r="F370" s="26">
        <f>Invoerblad!F241</f>
        <v>0</v>
      </c>
      <c r="G370" t="s">
        <v>136</v>
      </c>
    </row>
    <row r="371" spans="1:7" ht="12.75">
      <c r="A371" t="s">
        <v>4</v>
      </c>
      <c r="B371" s="60">
        <f>Invoerblad!B242</f>
        <v>0</v>
      </c>
      <c r="D371" t="s">
        <v>135</v>
      </c>
      <c r="F371" s="26">
        <f>Invoerblad!F242</f>
        <v>0</v>
      </c>
      <c r="G371" t="s">
        <v>136</v>
      </c>
    </row>
    <row r="372" spans="1:7" ht="12.75">
      <c r="A372" t="s">
        <v>4</v>
      </c>
      <c r="B372" s="60">
        <f>Invoerblad!B243</f>
        <v>0</v>
      </c>
      <c r="D372" t="s">
        <v>135</v>
      </c>
      <c r="F372" s="26">
        <f>Invoerblad!F243</f>
        <v>0</v>
      </c>
      <c r="G372" t="s">
        <v>136</v>
      </c>
    </row>
    <row r="373" spans="1:7" ht="12.75">
      <c r="A373" t="s">
        <v>4</v>
      </c>
      <c r="B373" s="60">
        <f>Invoerblad!B244</f>
        <v>0</v>
      </c>
      <c r="D373" t="s">
        <v>135</v>
      </c>
      <c r="F373" s="26">
        <f>Invoerblad!F244</f>
        <v>0</v>
      </c>
      <c r="G373" t="s">
        <v>136</v>
      </c>
    </row>
    <row r="377" spans="1:4" ht="12.75">
      <c r="A377" s="39" t="s">
        <v>137</v>
      </c>
      <c r="C377" t="s">
        <v>4</v>
      </c>
      <c r="D377" s="52">
        <f>Invoerblad!E247</f>
        <v>0</v>
      </c>
    </row>
    <row r="379" ht="12.75">
      <c r="A379" s="1" t="s">
        <v>138</v>
      </c>
    </row>
    <row r="381" spans="2:3" ht="12.75">
      <c r="B381" s="26">
        <f>Invoerblad!B251</f>
        <v>0</v>
      </c>
      <c r="C381" t="s">
        <v>7</v>
      </c>
    </row>
    <row r="382" spans="2:3" ht="12.75">
      <c r="B382" s="26">
        <f>Invoerblad!B252</f>
        <v>0</v>
      </c>
      <c r="C382" t="s">
        <v>139</v>
      </c>
    </row>
    <row r="383" spans="2:5" ht="12.75">
      <c r="B383" s="26">
        <f>Invoerblad!B253</f>
        <v>0</v>
      </c>
      <c r="C383" t="s">
        <v>140</v>
      </c>
      <c r="D383" t="s">
        <v>141</v>
      </c>
      <c r="E383">
        <f>Invoerblad!E253</f>
        <v>0</v>
      </c>
    </row>
    <row r="384" spans="2:3" ht="12.75">
      <c r="B384" s="26">
        <f>Invoerblad!B254</f>
        <v>0</v>
      </c>
      <c r="C384" t="s">
        <v>136</v>
      </c>
    </row>
    <row r="390" spans="1:9" ht="12.75">
      <c r="A390" s="1" t="s">
        <v>142</v>
      </c>
      <c r="E390" t="s">
        <v>4</v>
      </c>
      <c r="I390" t="s">
        <v>230</v>
      </c>
    </row>
    <row r="392" spans="1:8" ht="12.75">
      <c r="A392" t="s">
        <v>143</v>
      </c>
      <c r="C392" s="26">
        <f>IF(D329=0,0,IF(D329&lt;995,2.5,IF(D329&lt;1005,2.5,IF(D329&gt;1005,2.5))))</f>
        <v>0</v>
      </c>
      <c r="D392" t="s">
        <v>304</v>
      </c>
      <c r="E392" s="26">
        <f>F329</f>
        <v>0</v>
      </c>
      <c r="F392" s="26" t="s">
        <v>271</v>
      </c>
      <c r="G392" s="26">
        <f>(C392*E392)/10</f>
        <v>0</v>
      </c>
      <c r="H392" t="s">
        <v>29</v>
      </c>
    </row>
    <row r="393" spans="1:8" ht="12.75">
      <c r="A393" t="s">
        <v>144</v>
      </c>
      <c r="C393" s="26">
        <f>IF(D329=0,0,IF(D329&lt;995,0.3,IF(D329&lt;1005,0.4,IF(D329&gt;1005,0.5))))</f>
        <v>0</v>
      </c>
      <c r="D393" t="s">
        <v>304</v>
      </c>
      <c r="E393" s="26">
        <f>F329</f>
        <v>0</v>
      </c>
      <c r="F393" s="26" t="s">
        <v>271</v>
      </c>
      <c r="G393" s="26">
        <f>(C393*E393)/10</f>
        <v>0</v>
      </c>
      <c r="H393" t="s">
        <v>29</v>
      </c>
    </row>
    <row r="394" spans="1:8" ht="12.75">
      <c r="A394" t="s">
        <v>145</v>
      </c>
      <c r="C394" s="26">
        <f>IF(D329=0,0,IF(D329&lt;995,0.5,IF(D329&lt;1005,1,IF(D329&gt;1005,1.5))))</f>
        <v>0</v>
      </c>
      <c r="D394" t="s">
        <v>304</v>
      </c>
      <c r="E394" s="26">
        <f>F329</f>
        <v>0</v>
      </c>
      <c r="F394" s="26" t="s">
        <v>271</v>
      </c>
      <c r="G394" s="26">
        <f>(C394*E394)/10</f>
        <v>0</v>
      </c>
      <c r="H394" t="s">
        <v>29</v>
      </c>
    </row>
    <row r="397" ht="12.75">
      <c r="A397" s="40" t="s">
        <v>362</v>
      </c>
    </row>
    <row r="398" ht="12.75">
      <c r="A398" s="40" t="s">
        <v>363</v>
      </c>
    </row>
    <row r="401" spans="1:6" ht="12.75">
      <c r="A401" s="1" t="s">
        <v>305</v>
      </c>
      <c r="E401" t="s">
        <v>4</v>
      </c>
      <c r="F401" s="60">
        <f>Invoerblad!F257</f>
        <v>0</v>
      </c>
    </row>
    <row r="403" spans="1:4" ht="12.75">
      <c r="A403" t="s">
        <v>143</v>
      </c>
      <c r="C403" s="26">
        <f>Invoerblad!C259</f>
        <v>0</v>
      </c>
      <c r="D403" t="s">
        <v>29</v>
      </c>
    </row>
    <row r="404" spans="1:4" ht="12.75">
      <c r="A404" t="s">
        <v>144</v>
      </c>
      <c r="C404" s="26">
        <f>Invoerblad!C260</f>
        <v>0</v>
      </c>
      <c r="D404" t="s">
        <v>29</v>
      </c>
    </row>
    <row r="405" spans="1:4" ht="12.75">
      <c r="A405" t="s">
        <v>145</v>
      </c>
      <c r="C405" s="26">
        <f>Invoerblad!C261</f>
        <v>0</v>
      </c>
      <c r="D405" t="s">
        <v>29</v>
      </c>
    </row>
    <row r="408" spans="1:4" ht="12.75">
      <c r="A408" s="1" t="s">
        <v>146</v>
      </c>
      <c r="C408" s="26">
        <f>Invoerblad!C264</f>
        <v>0</v>
      </c>
      <c r="D408" t="s">
        <v>148</v>
      </c>
    </row>
    <row r="409" spans="3:4" ht="12.75">
      <c r="C409" s="26">
        <f>Invoerblad!C265</f>
        <v>0</v>
      </c>
      <c r="D409" t="s">
        <v>149</v>
      </c>
    </row>
    <row r="410" spans="3:4" ht="12.75">
      <c r="C410" s="26">
        <f>Invoerblad!C266</f>
        <v>0</v>
      </c>
      <c r="D410" t="s">
        <v>147</v>
      </c>
    </row>
    <row r="413" ht="12.75">
      <c r="G413" t="s">
        <v>423</v>
      </c>
    </row>
    <row r="446" spans="1:9" ht="12.75">
      <c r="A446" s="38" t="s">
        <v>419</v>
      </c>
      <c r="I446" t="s">
        <v>420</v>
      </c>
    </row>
    <row r="448" ht="12.75">
      <c r="A448" s="39" t="s">
        <v>78</v>
      </c>
    </row>
    <row r="450" spans="1:5" ht="12.75">
      <c r="A450" s="1" t="s">
        <v>306</v>
      </c>
      <c r="C450" s="26"/>
      <c r="D450" t="s">
        <v>307</v>
      </c>
      <c r="E450" t="s">
        <v>308</v>
      </c>
    </row>
    <row r="451" ht="12.75">
      <c r="E451" t="s">
        <v>309</v>
      </c>
    </row>
    <row r="452" spans="3:5" ht="12.75">
      <c r="C452" s="26"/>
      <c r="D452" t="s">
        <v>40</v>
      </c>
      <c r="E452" t="s">
        <v>310</v>
      </c>
    </row>
    <row r="453" ht="12.75">
      <c r="E453" t="s">
        <v>311</v>
      </c>
    </row>
    <row r="455" ht="12.75">
      <c r="A455" s="40" t="s">
        <v>364</v>
      </c>
    </row>
    <row r="458" ht="12.75">
      <c r="A458" t="s">
        <v>312</v>
      </c>
    </row>
    <row r="460" spans="1:7" ht="12.75">
      <c r="A460" t="s">
        <v>313</v>
      </c>
      <c r="B460" s="26">
        <f>C450*2*1</f>
        <v>0</v>
      </c>
      <c r="C460" t="s">
        <v>314</v>
      </c>
      <c r="E460" t="s">
        <v>315</v>
      </c>
      <c r="F460" s="26">
        <f>C450*2*4</f>
        <v>0</v>
      </c>
      <c r="G460" t="s">
        <v>314</v>
      </c>
    </row>
    <row r="461" spans="1:7" ht="12.75">
      <c r="A461" t="s">
        <v>316</v>
      </c>
      <c r="B461" s="26">
        <f>C450*2*2</f>
        <v>0</v>
      </c>
      <c r="C461" t="s">
        <v>314</v>
      </c>
      <c r="E461" t="s">
        <v>317</v>
      </c>
      <c r="F461" s="26">
        <f>C450*2*5</f>
        <v>0</v>
      </c>
      <c r="G461" t="s">
        <v>314</v>
      </c>
    </row>
    <row r="462" spans="1:7" ht="12.75">
      <c r="A462" t="s">
        <v>318</v>
      </c>
      <c r="B462" s="26">
        <f>C450*2*3</f>
        <v>0</v>
      </c>
      <c r="C462" t="s">
        <v>314</v>
      </c>
      <c r="E462" t="s">
        <v>319</v>
      </c>
      <c r="F462" s="26">
        <f>C450*2*6</f>
        <v>0</v>
      </c>
      <c r="G462" t="s">
        <v>314</v>
      </c>
    </row>
    <row r="464" ht="12.75">
      <c r="A464" t="s">
        <v>320</v>
      </c>
    </row>
    <row r="466" spans="1:7" ht="12.75">
      <c r="A466" t="s">
        <v>313</v>
      </c>
      <c r="B466" s="26">
        <f>C452*2.5*1</f>
        <v>0</v>
      </c>
      <c r="C466" t="s">
        <v>314</v>
      </c>
      <c r="E466" t="s">
        <v>315</v>
      </c>
      <c r="F466" s="26">
        <f>C452*2.5*4</f>
        <v>0</v>
      </c>
      <c r="G466" t="s">
        <v>314</v>
      </c>
    </row>
    <row r="467" spans="1:7" ht="12.75">
      <c r="A467" t="s">
        <v>316</v>
      </c>
      <c r="B467" s="26">
        <f>C452*2.5*2</f>
        <v>0</v>
      </c>
      <c r="C467" t="s">
        <v>314</v>
      </c>
      <c r="E467" t="s">
        <v>317</v>
      </c>
      <c r="F467" s="26">
        <f>C452*2.5*5</f>
        <v>0</v>
      </c>
      <c r="G467" t="s">
        <v>314</v>
      </c>
    </row>
    <row r="468" spans="1:7" ht="12.75">
      <c r="A468" t="s">
        <v>318</v>
      </c>
      <c r="B468" s="26">
        <f>C452*2.5*3</f>
        <v>0</v>
      </c>
      <c r="C468" t="s">
        <v>314</v>
      </c>
      <c r="E468" t="s">
        <v>319</v>
      </c>
      <c r="F468" s="26">
        <f>C452*2.5*6</f>
        <v>0</v>
      </c>
      <c r="G468" t="s">
        <v>314</v>
      </c>
    </row>
    <row r="469" ht="12.75">
      <c r="A469" s="40"/>
    </row>
    <row r="472" ht="12.75">
      <c r="A472" s="1" t="s">
        <v>321</v>
      </c>
    </row>
    <row r="474" ht="12.75">
      <c r="A474" s="40" t="s">
        <v>365</v>
      </c>
    </row>
    <row r="475" spans="1:5" ht="12.75">
      <c r="A475" s="40" t="s">
        <v>366</v>
      </c>
      <c r="D475" s="40"/>
      <c r="E475" s="40"/>
    </row>
    <row r="477" spans="1:8" ht="12.75">
      <c r="A477" t="s">
        <v>186</v>
      </c>
      <c r="C477" s="26">
        <f>Invoerblad!E90</f>
        <v>0</v>
      </c>
      <c r="D477" t="s">
        <v>40</v>
      </c>
      <c r="E477" t="s">
        <v>43</v>
      </c>
      <c r="G477" s="26">
        <f>Invoerblad!C82</f>
        <v>0</v>
      </c>
      <c r="H477" t="s">
        <v>18</v>
      </c>
    </row>
    <row r="478" spans="1:5" ht="12.75">
      <c r="A478" t="s">
        <v>322</v>
      </c>
      <c r="C478" t="s">
        <v>323</v>
      </c>
      <c r="D478" s="26">
        <f>C477*0.67*1</f>
        <v>0</v>
      </c>
      <c r="E478" t="s">
        <v>314</v>
      </c>
    </row>
    <row r="479" spans="3:5" ht="12.75">
      <c r="C479" t="s">
        <v>324</v>
      </c>
      <c r="D479" s="26">
        <f>C477*0.67*2</f>
        <v>0</v>
      </c>
      <c r="E479" t="s">
        <v>314</v>
      </c>
    </row>
    <row r="480" spans="3:5" ht="12.75">
      <c r="C480" t="s">
        <v>325</v>
      </c>
      <c r="D480" s="26">
        <f>C477*0.67*3</f>
        <v>0</v>
      </c>
      <c r="E480" t="s">
        <v>314</v>
      </c>
    </row>
    <row r="481" spans="3:5" ht="12.75">
      <c r="C481" t="s">
        <v>326</v>
      </c>
      <c r="D481" s="26">
        <f>C477*0.67*4</f>
        <v>0</v>
      </c>
      <c r="E481" t="s">
        <v>314</v>
      </c>
    </row>
    <row r="483" spans="1:8" ht="12.75">
      <c r="A483" s="1" t="s">
        <v>43</v>
      </c>
      <c r="C483" s="26">
        <f>Invoerblad!C82</f>
        <v>0</v>
      </c>
      <c r="D483" t="s">
        <v>327</v>
      </c>
      <c r="E483" s="1" t="s">
        <v>328</v>
      </c>
      <c r="G483" s="26">
        <v>0</v>
      </c>
      <c r="H483" t="s">
        <v>329</v>
      </c>
    </row>
    <row r="485" spans="1:7" ht="12.75">
      <c r="A485" s="1" t="s">
        <v>330</v>
      </c>
      <c r="F485" s="26"/>
      <c r="G485" t="s">
        <v>329</v>
      </c>
    </row>
    <row r="489" ht="12.75">
      <c r="A489" s="40" t="s">
        <v>373</v>
      </c>
    </row>
    <row r="490" ht="12.75">
      <c r="A490" s="40" t="s">
        <v>331</v>
      </c>
    </row>
    <row r="491" ht="12.75">
      <c r="A491" s="40" t="s">
        <v>332</v>
      </c>
    </row>
    <row r="493" ht="12.75">
      <c r="A493" s="4" t="s">
        <v>333</v>
      </c>
    </row>
    <row r="495" spans="1:6" ht="12.75">
      <c r="A495" t="s">
        <v>334</v>
      </c>
      <c r="B495" s="26">
        <f>Invoerblad!E90</f>
        <v>0</v>
      </c>
      <c r="C495" t="s">
        <v>40</v>
      </c>
      <c r="D495" t="s">
        <v>335</v>
      </c>
      <c r="E495" s="26">
        <f>Invoerblad!C82</f>
        <v>0</v>
      </c>
      <c r="F495" t="s">
        <v>18</v>
      </c>
    </row>
    <row r="497" spans="1:6" ht="12.75">
      <c r="A497" t="s">
        <v>336</v>
      </c>
      <c r="B497" s="26">
        <f>IF(B495=0,0,IF(Invoerblad!D98&gt;Invoerblad!D105,Invoerblad!D98,Invoerblad!D105))</f>
        <v>0</v>
      </c>
      <c r="C497" t="s">
        <v>40</v>
      </c>
      <c r="D497" t="s">
        <v>337</v>
      </c>
      <c r="E497" s="56">
        <f>IF(B495=0,0,IF(Invoerblad!D101&gt;Invoerblad!D108,Invoerblad!D101,Invoerblad!D108))</f>
        <v>0</v>
      </c>
      <c r="F497" t="s">
        <v>18</v>
      </c>
    </row>
    <row r="499" spans="1:8" ht="12.75">
      <c r="A499" t="s">
        <v>338</v>
      </c>
      <c r="C499" s="26">
        <f>B495+B497</f>
        <v>0</v>
      </c>
      <c r="D499" t="s">
        <v>40</v>
      </c>
      <c r="F499" s="97" t="s">
        <v>339</v>
      </c>
      <c r="G499" s="98"/>
      <c r="H499" s="99"/>
    </row>
    <row r="501" spans="1:7" ht="12.75">
      <c r="A501" t="s">
        <v>340</v>
      </c>
      <c r="C501" s="57">
        <f>IF(B495=0,0,(((B495*E495)+(B497*E497))/(C499)))</f>
        <v>0</v>
      </c>
      <c r="D501" t="s">
        <v>18</v>
      </c>
      <c r="F501" s="97" t="s">
        <v>341</v>
      </c>
      <c r="G501" s="99"/>
    </row>
    <row r="502" ht="12.75">
      <c r="I502" t="s">
        <v>421</v>
      </c>
    </row>
    <row r="503" spans="1:8" ht="12.75">
      <c r="A503" s="40" t="s">
        <v>367</v>
      </c>
      <c r="F503" s="49"/>
      <c r="H503" s="51"/>
    </row>
    <row r="505" spans="1:6" ht="12.75">
      <c r="A505" s="40" t="s">
        <v>369</v>
      </c>
      <c r="F505" s="50"/>
    </row>
    <row r="507" ht="12.75">
      <c r="A507" s="40" t="s">
        <v>368</v>
      </c>
    </row>
    <row r="509" spans="2:8" ht="12.75">
      <c r="B509" s="97" t="s">
        <v>342</v>
      </c>
      <c r="C509" s="98"/>
      <c r="D509" s="98"/>
      <c r="E509" s="98"/>
      <c r="F509" s="98"/>
      <c r="G509" s="98"/>
      <c r="H509" s="99"/>
    </row>
    <row r="511" ht="12.75">
      <c r="A511" s="4" t="s">
        <v>343</v>
      </c>
    </row>
    <row r="513" spans="1:6" ht="12.75">
      <c r="A513" t="s">
        <v>334</v>
      </c>
      <c r="B513" s="26">
        <f>B495</f>
        <v>0</v>
      </c>
      <c r="C513" t="s">
        <v>40</v>
      </c>
      <c r="D513" t="s">
        <v>344</v>
      </c>
      <c r="E513" s="26">
        <f>Invoerblad!D80</f>
        <v>0</v>
      </c>
      <c r="F513" t="s">
        <v>20</v>
      </c>
    </row>
    <row r="515" spans="1:6" ht="12.75">
      <c r="A515" t="s">
        <v>336</v>
      </c>
      <c r="B515" s="26">
        <f>IF(B513=0,0,IF(Invoerblad!D98&gt;Invoerblad!D105,Invoerblad!D98,Invoerblad!D105))</f>
        <v>0</v>
      </c>
      <c r="C515" t="s">
        <v>40</v>
      </c>
      <c r="D515" t="s">
        <v>345</v>
      </c>
      <c r="E515" s="57">
        <f>IF(B513=0,0,IF(Invoerblad!D100&gt;Invoerblad!D107,Invoerblad!D100,Invoerblad!D107))</f>
        <v>0</v>
      </c>
      <c r="F515" t="s">
        <v>20</v>
      </c>
    </row>
    <row r="517" spans="1:8" ht="12.75">
      <c r="A517" t="s">
        <v>338</v>
      </c>
      <c r="C517" s="26">
        <f>B513+B515</f>
        <v>0</v>
      </c>
      <c r="D517" t="s">
        <v>40</v>
      </c>
      <c r="F517" s="97" t="s">
        <v>339</v>
      </c>
      <c r="G517" s="98"/>
      <c r="H517" s="99"/>
    </row>
    <row r="519" spans="1:8" ht="12.75">
      <c r="A519" t="s">
        <v>346</v>
      </c>
      <c r="C519" s="57">
        <f>IF(B513=0,0,(((B513*E513)+(B515*E515))/(C517)))</f>
        <v>0</v>
      </c>
      <c r="D519" t="s">
        <v>20</v>
      </c>
      <c r="F519" s="97" t="s">
        <v>347</v>
      </c>
      <c r="G519" s="98"/>
      <c r="H519" s="99"/>
    </row>
    <row r="521" ht="12.75">
      <c r="A521" s="40" t="s">
        <v>370</v>
      </c>
    </row>
    <row r="523" ht="12.75">
      <c r="A523" s="40" t="s">
        <v>371</v>
      </c>
    </row>
    <row r="525" ht="12.75">
      <c r="A525" s="40" t="s">
        <v>372</v>
      </c>
    </row>
    <row r="527" ht="12.75">
      <c r="A527" s="39" t="s">
        <v>348</v>
      </c>
    </row>
    <row r="528" ht="12.75">
      <c r="A528" s="1" t="s">
        <v>349</v>
      </c>
    </row>
    <row r="529" ht="12.75">
      <c r="A529" t="s">
        <v>350</v>
      </c>
    </row>
    <row r="530" ht="12.75">
      <c r="A530" t="s">
        <v>351</v>
      </c>
    </row>
    <row r="531" ht="12.75">
      <c r="A531" t="s">
        <v>352</v>
      </c>
    </row>
    <row r="532" ht="12.75">
      <c r="A532" t="s">
        <v>353</v>
      </c>
    </row>
    <row r="533" ht="12.75">
      <c r="A533" t="s">
        <v>354</v>
      </c>
    </row>
    <row r="535" ht="12.75">
      <c r="A535" s="1" t="s">
        <v>355</v>
      </c>
    </row>
    <row r="537" spans="1:5" ht="12.75">
      <c r="A537" t="s">
        <v>172</v>
      </c>
      <c r="D537" s="57">
        <f>Invoerblad!C82</f>
        <v>0</v>
      </c>
      <c r="E537" t="s">
        <v>18</v>
      </c>
    </row>
    <row r="539" spans="1:7" ht="12.75">
      <c r="A539" t="s">
        <v>173</v>
      </c>
      <c r="D539" s="26">
        <f>Invoerblad!C84</f>
        <v>0</v>
      </c>
      <c r="E539" t="s">
        <v>18</v>
      </c>
      <c r="G539" s="26">
        <v>0</v>
      </c>
    </row>
    <row r="541" spans="1:6" ht="12.75">
      <c r="A541" t="s">
        <v>174</v>
      </c>
      <c r="E541" s="57">
        <f>D537-D539</f>
        <v>0</v>
      </c>
      <c r="F541" t="s">
        <v>18</v>
      </c>
    </row>
    <row r="543" spans="1:4" ht="12.75">
      <c r="A543" t="s">
        <v>175</v>
      </c>
      <c r="C543" s="26">
        <f>Invoerblad!E90</f>
        <v>0</v>
      </c>
      <c r="D543" t="s">
        <v>40</v>
      </c>
    </row>
    <row r="545" spans="1:6" ht="12.75">
      <c r="A545" t="s">
        <v>176</v>
      </c>
      <c r="E545" s="28">
        <f>C543*E541</f>
        <v>0</v>
      </c>
      <c r="F545" t="s">
        <v>29</v>
      </c>
    </row>
    <row r="547" spans="1:7" ht="12.75">
      <c r="A547" t="s">
        <v>177</v>
      </c>
      <c r="F547" s="28">
        <f>E545*0.67</f>
        <v>0</v>
      </c>
      <c r="G547" t="s">
        <v>29</v>
      </c>
    </row>
    <row r="549" spans="1:7" ht="12.75">
      <c r="A549" t="s">
        <v>178</v>
      </c>
      <c r="F549" s="28">
        <f>IF(D537=0,0,D537-2)</f>
        <v>0</v>
      </c>
      <c r="G549" t="s">
        <v>29</v>
      </c>
    </row>
    <row r="551" spans="1:7" ht="12.75">
      <c r="A551" t="s">
        <v>179</v>
      </c>
      <c r="F551" s="28">
        <f>IF(F549=0,0,(E545/F549))</f>
        <v>0</v>
      </c>
      <c r="G551" t="s">
        <v>40</v>
      </c>
    </row>
    <row r="553" spans="1:5" ht="12.75">
      <c r="A553" t="s">
        <v>180</v>
      </c>
      <c r="D553" s="28">
        <f>C543-F551</f>
        <v>0</v>
      </c>
      <c r="E553" t="s">
        <v>40</v>
      </c>
    </row>
    <row r="558" spans="1:9" ht="12.75">
      <c r="A558" s="4" t="s">
        <v>374</v>
      </c>
      <c r="I558" t="s">
        <v>422</v>
      </c>
    </row>
    <row r="559" ht="12.75">
      <c r="G559" s="4" t="s">
        <v>375</v>
      </c>
    </row>
    <row r="561" spans="1:4" ht="12.75">
      <c r="A561" t="s">
        <v>43</v>
      </c>
      <c r="C561" s="57">
        <f>Invoerblad!C82</f>
        <v>0</v>
      </c>
      <c r="D561" t="s">
        <v>29</v>
      </c>
    </row>
    <row r="563" spans="1:5" ht="12.75">
      <c r="A563" t="s">
        <v>44</v>
      </c>
      <c r="C563" s="26">
        <f>Invoerblad!C84</f>
        <v>0</v>
      </c>
      <c r="D563" t="s">
        <v>29</v>
      </c>
      <c r="E563" t="s">
        <v>356</v>
      </c>
    </row>
    <row r="564" ht="12.75">
      <c r="E564" t="s">
        <v>357</v>
      </c>
    </row>
    <row r="566" spans="1:5" ht="12.75">
      <c r="A566" t="s">
        <v>358</v>
      </c>
      <c r="D566" s="26">
        <f>IF(C563=0,0,IF(C561&lt;12.5,0,IF(C563=10,VLOOKUP(C561,'Opzoekings tabellen'!A148:F175,2),IF(C563=9,VLOOKUP(C561,'Opzoekings tabellen'!A148:F175,3),IF(C563=8,VLOOKUP(C561,'Opzoekings tabellen'!A148:F175,4),IF(C563=7,VLOOKUP(C561,'Opzoekings tabellen'!A148:F175,5),IF(C563=6,VLOOKUP(C561,'Opzoekings tabellen'!A148:F175,6)))))))*C477/100)</f>
        <v>0</v>
      </c>
      <c r="E566" t="s">
        <v>359</v>
      </c>
    </row>
    <row r="568" spans="1:5" ht="12.75">
      <c r="A568" t="s">
        <v>360</v>
      </c>
      <c r="D568" s="26">
        <f>IF(C563=0,0,IF(C561&lt;12.5,0,IF(C563=10,VLOOKUP(C561,'Opzoekings tabellen'!A180:F207,2),IF(C563=9,VLOOKUP(C561,'Opzoekings tabellen'!A180:F207,3),IF(C563=8,VLOOKUP(C561,'Opzoekings tabellen'!A180:F207,4),IF(C563=7,VLOOKUP(C561,'Opzoekings tabellen'!A180:F207,5),IF(C563=6,VLOOKUP(C561,'Opzoekings tabellen'!A180:F207,6))))))))*C477/100</f>
        <v>0</v>
      </c>
      <c r="E568" t="s">
        <v>361</v>
      </c>
    </row>
    <row r="570" ht="12.75">
      <c r="A570" s="39" t="s">
        <v>376</v>
      </c>
    </row>
    <row r="572" ht="12.75">
      <c r="A572" t="s">
        <v>377</v>
      </c>
    </row>
    <row r="573" ht="12.75">
      <c r="A573" t="s">
        <v>378</v>
      </c>
    </row>
    <row r="575" ht="12.75">
      <c r="A575" s="40" t="s">
        <v>379</v>
      </c>
    </row>
    <row r="577" ht="12.75">
      <c r="A577" s="40" t="s">
        <v>380</v>
      </c>
    </row>
    <row r="579" ht="12.75">
      <c r="A579" t="s">
        <v>381</v>
      </c>
    </row>
    <row r="580" ht="12.75">
      <c r="A580" t="s">
        <v>382</v>
      </c>
    </row>
    <row r="581" ht="12.75">
      <c r="A581" t="s">
        <v>383</v>
      </c>
    </row>
    <row r="582" ht="12.75">
      <c r="A582" t="s">
        <v>384</v>
      </c>
    </row>
    <row r="584" spans="1:6" ht="12.75">
      <c r="A584" s="1" t="s">
        <v>385</v>
      </c>
      <c r="E584" s="26">
        <f>Invoerblad!F202</f>
        <v>0</v>
      </c>
      <c r="F584" t="s">
        <v>40</v>
      </c>
    </row>
    <row r="586" spans="1:5" ht="12.75">
      <c r="A586" s="1" t="s">
        <v>386</v>
      </c>
      <c r="D586" s="26">
        <f>IF(E584=0,0,(E584*0.67))</f>
        <v>0</v>
      </c>
      <c r="E586" t="s">
        <v>29</v>
      </c>
    </row>
  </sheetData>
  <mergeCells count="46">
    <mergeCell ref="B312:D312"/>
    <mergeCell ref="F275:F276"/>
    <mergeCell ref="B275:B276"/>
    <mergeCell ref="B313:D313"/>
    <mergeCell ref="F272:F273"/>
    <mergeCell ref="A275:A276"/>
    <mergeCell ref="E311:F311"/>
    <mergeCell ref="B311:D311"/>
    <mergeCell ref="B318:D318"/>
    <mergeCell ref="H324:I324"/>
    <mergeCell ref="F324:G324"/>
    <mergeCell ref="B314:D314"/>
    <mergeCell ref="E315:F315"/>
    <mergeCell ref="B315:D315"/>
    <mergeCell ref="B316:D316"/>
    <mergeCell ref="B317:D317"/>
    <mergeCell ref="E148:E149"/>
    <mergeCell ref="F148:F149"/>
    <mergeCell ref="C156:C157"/>
    <mergeCell ref="D156:D157"/>
    <mergeCell ref="E156:E157"/>
    <mergeCell ref="B152:H153"/>
    <mergeCell ref="A1:H1"/>
    <mergeCell ref="A56:C56"/>
    <mergeCell ref="D56:E56"/>
    <mergeCell ref="F56:G56"/>
    <mergeCell ref="H56:I56"/>
    <mergeCell ref="C176:G176"/>
    <mergeCell ref="H275:I276"/>
    <mergeCell ref="G275:G276"/>
    <mergeCell ref="D160:D161"/>
    <mergeCell ref="G205:I205"/>
    <mergeCell ref="G156:H161"/>
    <mergeCell ref="C160:C161"/>
    <mergeCell ref="E160:E161"/>
    <mergeCell ref="A205:C205"/>
    <mergeCell ref="D205:F205"/>
    <mergeCell ref="A148:A149"/>
    <mergeCell ref="B148:B149"/>
    <mergeCell ref="C148:C149"/>
    <mergeCell ref="D148:D149"/>
    <mergeCell ref="F517:H517"/>
    <mergeCell ref="F519:H519"/>
    <mergeCell ref="F499:H499"/>
    <mergeCell ref="F501:G501"/>
    <mergeCell ref="B509:H509"/>
  </mergeCells>
  <printOptions/>
  <pageMargins left="0.75" right="0.75" top="1" bottom="1" header="0.5" footer="0.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4:G76"/>
  <sheetViews>
    <sheetView showZeros="0" workbookViewId="0" topLeftCell="A1">
      <selection activeCell="F28" sqref="F28"/>
    </sheetView>
  </sheetViews>
  <sheetFormatPr defaultColWidth="9.140625" defaultRowHeight="12.75"/>
  <sheetData>
    <row r="2" ht="12.75"/>
    <row r="4" ht="12.75">
      <c r="A4" s="17" t="s">
        <v>154</v>
      </c>
    </row>
    <row r="6" spans="1:2" ht="14.25">
      <c r="A6" s="1" t="s">
        <v>155</v>
      </c>
      <c r="B6" s="18" t="s">
        <v>156</v>
      </c>
    </row>
    <row r="8" spans="1:2" ht="14.25">
      <c r="A8" s="1" t="s">
        <v>157</v>
      </c>
      <c r="B8" s="18" t="s">
        <v>158</v>
      </c>
    </row>
    <row r="10" spans="1:2" ht="14.25">
      <c r="A10" s="1" t="s">
        <v>159</v>
      </c>
      <c r="B10" s="18" t="s">
        <v>160</v>
      </c>
    </row>
    <row r="12" spans="1:2" ht="14.25">
      <c r="A12" s="1" t="s">
        <v>161</v>
      </c>
      <c r="B12" s="18" t="s">
        <v>162</v>
      </c>
    </row>
    <row r="14" ht="12.75">
      <c r="A14" s="19" t="s">
        <v>163</v>
      </c>
    </row>
    <row r="16" spans="1:6" ht="12.75">
      <c r="A16" s="1" t="s">
        <v>155</v>
      </c>
      <c r="C16" t="s">
        <v>40</v>
      </c>
      <c r="D16" s="1" t="s">
        <v>159</v>
      </c>
      <c r="F16" t="s">
        <v>18</v>
      </c>
    </row>
    <row r="18" spans="1:6" ht="12.75">
      <c r="A18" s="1" t="s">
        <v>157</v>
      </c>
      <c r="C18" t="s">
        <v>40</v>
      </c>
      <c r="D18" s="1" t="s">
        <v>161</v>
      </c>
      <c r="F18" t="s">
        <v>18</v>
      </c>
    </row>
    <row r="20" spans="1:7" ht="12.75">
      <c r="A20" s="1" t="s">
        <v>125</v>
      </c>
      <c r="C20">
        <f>B16+B18</f>
        <v>0</v>
      </c>
      <c r="D20" t="s">
        <v>40</v>
      </c>
      <c r="E20" s="1" t="s">
        <v>17</v>
      </c>
      <c r="F20" s="20">
        <f>IF(B16=0,0,((B16*E16)+(B18*E18))/C20)</f>
        <v>0</v>
      </c>
      <c r="G20" t="s">
        <v>18</v>
      </c>
    </row>
    <row r="22" ht="12.75">
      <c r="A22" s="19" t="s">
        <v>164</v>
      </c>
    </row>
    <row r="24" spans="1:6" ht="12.75">
      <c r="A24" s="1" t="s">
        <v>155</v>
      </c>
      <c r="C24" t="s">
        <v>40</v>
      </c>
      <c r="D24" s="1" t="s">
        <v>165</v>
      </c>
      <c r="F24" t="s">
        <v>20</v>
      </c>
    </row>
    <row r="26" spans="1:6" ht="12.75">
      <c r="A26" s="1" t="s">
        <v>157</v>
      </c>
      <c r="C26" t="s">
        <v>40</v>
      </c>
      <c r="D26" s="1" t="s">
        <v>166</v>
      </c>
      <c r="F26" t="s">
        <v>20</v>
      </c>
    </row>
    <row r="28" spans="1:7" ht="12.75">
      <c r="A28" s="1" t="s">
        <v>125</v>
      </c>
      <c r="C28">
        <f>(B24+B26)</f>
        <v>0</v>
      </c>
      <c r="D28" t="s">
        <v>40</v>
      </c>
      <c r="E28" s="1" t="s">
        <v>167</v>
      </c>
      <c r="F28" s="20">
        <f>IF(B24=0,0,((B24*E24)+(B26*E26))/(B24+B26))</f>
        <v>0</v>
      </c>
      <c r="G28" t="s">
        <v>18</v>
      </c>
    </row>
    <row r="30" ht="12.75">
      <c r="A30" s="19" t="s">
        <v>168</v>
      </c>
    </row>
    <row r="32" spans="1:6" ht="12.75">
      <c r="A32" s="1" t="s">
        <v>155</v>
      </c>
      <c r="C32" t="s">
        <v>40</v>
      </c>
      <c r="D32" s="1" t="s">
        <v>169</v>
      </c>
      <c r="F32" t="s">
        <v>170</v>
      </c>
    </row>
    <row r="34" spans="1:6" ht="12.75">
      <c r="A34" s="1" t="s">
        <v>157</v>
      </c>
      <c r="C34" t="s">
        <v>40</v>
      </c>
      <c r="D34" s="1" t="s">
        <v>169</v>
      </c>
      <c r="F34" t="s">
        <v>170</v>
      </c>
    </row>
    <row r="36" spans="1:7" ht="12.75">
      <c r="A36" s="1" t="s">
        <v>125</v>
      </c>
      <c r="C36">
        <f>B32+B34</f>
        <v>0</v>
      </c>
      <c r="D36" t="s">
        <v>40</v>
      </c>
      <c r="E36" s="1" t="s">
        <v>169</v>
      </c>
      <c r="F36">
        <f>IF(B32=0,0,((B32*E32)+(B34*E34))/C36)</f>
        <v>0</v>
      </c>
      <c r="G36" t="s">
        <v>170</v>
      </c>
    </row>
    <row r="38" ht="12.75">
      <c r="A38" s="19" t="s">
        <v>171</v>
      </c>
    </row>
    <row r="40" spans="1:5" ht="12.75">
      <c r="A40" t="s">
        <v>172</v>
      </c>
      <c r="E40" t="s">
        <v>18</v>
      </c>
    </row>
    <row r="42" spans="1:5" ht="12.75">
      <c r="A42" t="s">
        <v>173</v>
      </c>
      <c r="E42" t="s">
        <v>18</v>
      </c>
    </row>
    <row r="44" spans="1:7" ht="12.75">
      <c r="A44" t="s">
        <v>174</v>
      </c>
      <c r="F44">
        <f>D40-D42</f>
        <v>0</v>
      </c>
      <c r="G44" t="s">
        <v>18</v>
      </c>
    </row>
    <row r="46" spans="1:4" ht="12.75">
      <c r="A46" t="s">
        <v>175</v>
      </c>
      <c r="D46" t="s">
        <v>40</v>
      </c>
    </row>
    <row r="48" spans="1:6" ht="12.75">
      <c r="A48" t="s">
        <v>176</v>
      </c>
      <c r="E48">
        <f>C46*F44</f>
        <v>0</v>
      </c>
      <c r="F48" t="s">
        <v>29</v>
      </c>
    </row>
    <row r="50" spans="1:7" ht="12.75">
      <c r="A50" t="s">
        <v>177</v>
      </c>
      <c r="F50">
        <f>E48*0.67</f>
        <v>0</v>
      </c>
      <c r="G50" t="s">
        <v>29</v>
      </c>
    </row>
    <row r="52" spans="1:7" ht="12.75">
      <c r="A52" t="s">
        <v>178</v>
      </c>
      <c r="F52">
        <f>IF(D40=0,0,(D40-2))</f>
        <v>0</v>
      </c>
      <c r="G52" t="s">
        <v>29</v>
      </c>
    </row>
    <row r="54" spans="1:7" ht="12.75">
      <c r="A54" t="s">
        <v>179</v>
      </c>
      <c r="F54">
        <f>IF(F52=0,0,(E48/F52))</f>
        <v>0</v>
      </c>
      <c r="G54" t="s">
        <v>40</v>
      </c>
    </row>
    <row r="56" spans="1:5" ht="12.75">
      <c r="A56" t="s">
        <v>180</v>
      </c>
      <c r="D56">
        <f>C46-F54</f>
        <v>0</v>
      </c>
      <c r="E56" t="s">
        <v>40</v>
      </c>
    </row>
    <row r="59" spans="1:3" ht="12.75">
      <c r="A59" s="4" t="s">
        <v>181</v>
      </c>
      <c r="B59" s="21"/>
      <c r="C59" s="21"/>
    </row>
    <row r="61" spans="1:4" ht="12.75">
      <c r="A61" t="s">
        <v>43</v>
      </c>
      <c r="D61" t="s">
        <v>29</v>
      </c>
    </row>
    <row r="63" spans="1:5" ht="12.75">
      <c r="A63" t="s">
        <v>44</v>
      </c>
      <c r="D63" t="s">
        <v>29</v>
      </c>
      <c r="E63" t="s">
        <v>184</v>
      </c>
    </row>
    <row r="64" ht="12.75">
      <c r="E64" t="s">
        <v>185</v>
      </c>
    </row>
    <row r="65" spans="1:4" ht="12.75">
      <c r="A65" t="s">
        <v>186</v>
      </c>
      <c r="D65" t="s">
        <v>40</v>
      </c>
    </row>
    <row r="67" spans="1:5" ht="12.75">
      <c r="A67" t="s">
        <v>187</v>
      </c>
      <c r="D67">
        <f>IF(C63=0,0,IF(C63=10,VLOOKUP(C61,'Opzoekings tabellen'!A148:F175,2),IF(C63=9,VLOOKUP(C61,'Opzoekings tabellen'!A148:F175,3),IF(C63=8,VLOOKUP(C61,'Opzoekings tabellen'!A148:F175,4),IF(C63=7,VLOOKUP(C61,'Opzoekings tabellen'!A148:F175,5),IF(C63=6,VLOOKUP(C61,'Opzoekings tabellen'!A148:F175,6)))))))*C65/100</f>
        <v>0</v>
      </c>
      <c r="E67" t="s">
        <v>29</v>
      </c>
    </row>
    <row r="69" spans="1:5" ht="12.75">
      <c r="A69" t="s">
        <v>188</v>
      </c>
      <c r="D69">
        <f>IF(C63=0,0,IF(C63=10,VLOOKUP(C61,'Opzoekings tabellen'!A180:F207,2),IF(C63=9,VLOOKUP(C61,'Opzoekings tabellen'!A180:F207,3),IF(C63=8,VLOOKUP(C61,'Opzoekings tabellen'!A180:F207,4),IF(C63=7,VLOOKUP(C61,'Opzoekings tabellen'!A180:F207,5),IF(C63=6,VLOOKUP(C61,'Opzoekings tabellen'!A180:F207,6)))))))*C65/100</f>
        <v>0</v>
      </c>
      <c r="E69" t="s">
        <v>193</v>
      </c>
    </row>
    <row r="76" ht="12.75">
      <c r="D76">
        <f>IF(D73=0,0,VLOOKUP(D73,'Opzoekings tabellen'!A306:D355,B:D))</f>
        <v>0</v>
      </c>
    </row>
  </sheetData>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H355"/>
  <sheetViews>
    <sheetView workbookViewId="0" topLeftCell="A1">
      <selection activeCell="A148" sqref="A148"/>
    </sheetView>
  </sheetViews>
  <sheetFormatPr defaultColWidth="9.140625" defaultRowHeight="12.75"/>
  <sheetData>
    <row r="1" ht="12.75">
      <c r="A1" s="1" t="s">
        <v>150</v>
      </c>
    </row>
    <row r="2" spans="1:5" ht="12.75">
      <c r="A2" s="1"/>
      <c r="C2" s="1" t="s">
        <v>151</v>
      </c>
      <c r="D2" s="1" t="s">
        <v>152</v>
      </c>
      <c r="E2" s="1" t="s">
        <v>153</v>
      </c>
    </row>
    <row r="3" spans="1:5" ht="12.75">
      <c r="A3" s="15">
        <v>1010</v>
      </c>
      <c r="E3">
        <v>30.5</v>
      </c>
    </row>
    <row r="4" spans="1:5" ht="12.75">
      <c r="A4" s="15">
        <v>1011</v>
      </c>
      <c r="E4">
        <v>33.1</v>
      </c>
    </row>
    <row r="5" spans="1:5" ht="12.75">
      <c r="A5" s="15">
        <v>1012</v>
      </c>
      <c r="E5">
        <v>35.7</v>
      </c>
    </row>
    <row r="6" spans="1:5" ht="12.75">
      <c r="A6" s="15">
        <v>1013</v>
      </c>
      <c r="E6">
        <v>38.3</v>
      </c>
    </row>
    <row r="7" spans="1:5" ht="12.75">
      <c r="A7" s="15">
        <v>1014</v>
      </c>
      <c r="E7">
        <v>40.9</v>
      </c>
    </row>
    <row r="8" spans="1:5" ht="12.75">
      <c r="A8" s="15">
        <v>1015</v>
      </c>
      <c r="E8">
        <v>43.5</v>
      </c>
    </row>
    <row r="9" spans="1:5" ht="12.75">
      <c r="A9" s="15">
        <v>1016</v>
      </c>
      <c r="E9">
        <v>46.1</v>
      </c>
    </row>
    <row r="10" spans="1:5" ht="12.75">
      <c r="A10" s="15">
        <v>1017</v>
      </c>
      <c r="E10">
        <v>48.7</v>
      </c>
    </row>
    <row r="11" spans="1:5" ht="12.75">
      <c r="A11" s="15">
        <v>1018</v>
      </c>
      <c r="E11">
        <v>51.3</v>
      </c>
    </row>
    <row r="12" spans="1:5" ht="12.75">
      <c r="A12" s="15">
        <v>1019</v>
      </c>
      <c r="E12">
        <v>53.9</v>
      </c>
    </row>
    <row r="13" spans="1:5" ht="12.75">
      <c r="A13" s="15">
        <v>1020</v>
      </c>
      <c r="E13">
        <v>56.5</v>
      </c>
    </row>
    <row r="14" spans="1:5" ht="12.75">
      <c r="A14" s="15">
        <v>1021</v>
      </c>
      <c r="E14">
        <v>59.1</v>
      </c>
    </row>
    <row r="15" spans="1:5" ht="12.75">
      <c r="A15" s="15">
        <v>1022</v>
      </c>
      <c r="E15">
        <v>61.7</v>
      </c>
    </row>
    <row r="16" spans="1:5" ht="12.75">
      <c r="A16" s="15">
        <v>1023</v>
      </c>
      <c r="E16">
        <v>64.3</v>
      </c>
    </row>
    <row r="17" spans="1:5" ht="12.75">
      <c r="A17" s="15">
        <v>1024</v>
      </c>
      <c r="E17">
        <v>66.9</v>
      </c>
    </row>
    <row r="18" spans="1:5" ht="12.75">
      <c r="A18" s="15">
        <v>1025</v>
      </c>
      <c r="E18">
        <v>69.5</v>
      </c>
    </row>
    <row r="19" spans="1:5" ht="12.75">
      <c r="A19" s="15">
        <v>1026</v>
      </c>
      <c r="E19">
        <v>72.1</v>
      </c>
    </row>
    <row r="20" spans="1:5" ht="12.75">
      <c r="A20" s="15">
        <v>1027</v>
      </c>
      <c r="E20">
        <v>74.8</v>
      </c>
    </row>
    <row r="21" spans="1:5" ht="12.75">
      <c r="A21" s="15">
        <v>1028</v>
      </c>
      <c r="E21" s="16">
        <v>77.4333333333333</v>
      </c>
    </row>
    <row r="22" spans="1:5" ht="12.75">
      <c r="A22">
        <v>1029</v>
      </c>
      <c r="E22" s="16">
        <v>80</v>
      </c>
    </row>
    <row r="23" spans="1:5" ht="12.75">
      <c r="A23">
        <v>1030</v>
      </c>
      <c r="B23">
        <v>45</v>
      </c>
      <c r="C23">
        <v>70</v>
      </c>
      <c r="D23">
        <v>55</v>
      </c>
      <c r="E23" s="16">
        <v>82.5</v>
      </c>
    </row>
    <row r="24" spans="1:5" ht="12.75">
      <c r="A24">
        <v>1031</v>
      </c>
      <c r="B24">
        <v>47.5</v>
      </c>
      <c r="C24">
        <v>72</v>
      </c>
      <c r="D24">
        <v>57.5</v>
      </c>
      <c r="E24" s="16">
        <v>85.2</v>
      </c>
    </row>
    <row r="25" spans="1:5" ht="12.75">
      <c r="A25">
        <v>1032</v>
      </c>
      <c r="B25">
        <v>50</v>
      </c>
      <c r="C25">
        <v>74</v>
      </c>
      <c r="D25">
        <v>60</v>
      </c>
      <c r="E25" s="16">
        <v>87.8</v>
      </c>
    </row>
    <row r="26" spans="1:5" ht="12.75">
      <c r="A26">
        <v>1033</v>
      </c>
      <c r="B26">
        <v>52.5</v>
      </c>
      <c r="C26">
        <v>76</v>
      </c>
      <c r="D26">
        <v>62.5</v>
      </c>
      <c r="E26" s="16">
        <v>90.4</v>
      </c>
    </row>
    <row r="27" spans="1:5" ht="12.75">
      <c r="A27">
        <v>1034</v>
      </c>
      <c r="B27">
        <v>55</v>
      </c>
      <c r="C27">
        <v>78</v>
      </c>
      <c r="D27">
        <v>65</v>
      </c>
      <c r="E27" s="16">
        <v>93.3333333333334</v>
      </c>
    </row>
    <row r="28" spans="1:5" ht="12.75">
      <c r="A28">
        <v>1035</v>
      </c>
      <c r="B28">
        <v>57.5</v>
      </c>
      <c r="C28">
        <v>80</v>
      </c>
      <c r="D28">
        <v>67.5</v>
      </c>
      <c r="E28" s="16">
        <v>95.6</v>
      </c>
    </row>
    <row r="29" spans="1:5" ht="12.75">
      <c r="A29">
        <v>1036</v>
      </c>
      <c r="B29">
        <v>60</v>
      </c>
      <c r="C29">
        <v>82</v>
      </c>
      <c r="D29">
        <v>70</v>
      </c>
      <c r="E29" s="16">
        <v>98.2</v>
      </c>
    </row>
    <row r="30" spans="1:5" ht="12.75">
      <c r="A30">
        <v>1037</v>
      </c>
      <c r="B30">
        <v>62.5</v>
      </c>
      <c r="C30">
        <v>84</v>
      </c>
      <c r="D30">
        <v>72.5</v>
      </c>
      <c r="E30" s="16">
        <v>100.8</v>
      </c>
    </row>
    <row r="31" spans="1:5" ht="12.75">
      <c r="A31">
        <v>1038</v>
      </c>
      <c r="B31">
        <v>65</v>
      </c>
      <c r="C31">
        <v>86</v>
      </c>
      <c r="D31">
        <v>75</v>
      </c>
      <c r="E31" s="16">
        <v>103.4</v>
      </c>
    </row>
    <row r="32" spans="1:5" ht="12.75">
      <c r="A32">
        <v>1039</v>
      </c>
      <c r="B32">
        <v>67.5</v>
      </c>
      <c r="C32">
        <v>88</v>
      </c>
      <c r="D32">
        <v>77.5</v>
      </c>
      <c r="E32" s="16">
        <v>106</v>
      </c>
    </row>
    <row r="33" spans="1:5" ht="12.75">
      <c r="A33">
        <v>1040</v>
      </c>
      <c r="B33">
        <v>70</v>
      </c>
      <c r="C33">
        <v>90</v>
      </c>
      <c r="D33">
        <v>80</v>
      </c>
      <c r="E33">
        <v>108.7</v>
      </c>
    </row>
    <row r="34" spans="1:5" ht="12.75">
      <c r="A34">
        <v>1041</v>
      </c>
      <c r="B34">
        <v>72.5</v>
      </c>
      <c r="C34">
        <v>92</v>
      </c>
      <c r="D34">
        <v>82.5</v>
      </c>
      <c r="E34">
        <v>111.3</v>
      </c>
    </row>
    <row r="35" spans="1:5" ht="12.75">
      <c r="A35">
        <v>1042</v>
      </c>
      <c r="B35">
        <v>75</v>
      </c>
      <c r="C35">
        <v>94</v>
      </c>
      <c r="D35">
        <v>85</v>
      </c>
      <c r="E35">
        <v>113.9</v>
      </c>
    </row>
    <row r="36" spans="1:5" ht="12.75">
      <c r="A36">
        <v>1043</v>
      </c>
      <c r="B36">
        <v>77.5</v>
      </c>
      <c r="C36">
        <v>96</v>
      </c>
      <c r="D36">
        <v>87.5</v>
      </c>
      <c r="E36">
        <v>116.5</v>
      </c>
    </row>
    <row r="37" spans="1:5" ht="12.75">
      <c r="A37">
        <v>1044</v>
      </c>
      <c r="B37">
        <v>80</v>
      </c>
      <c r="C37">
        <v>98</v>
      </c>
      <c r="D37">
        <v>90</v>
      </c>
      <c r="E37">
        <v>119.2</v>
      </c>
    </row>
    <row r="38" spans="1:5" ht="12.75">
      <c r="A38">
        <v>1045</v>
      </c>
      <c r="B38">
        <v>82.5</v>
      </c>
      <c r="C38">
        <v>100</v>
      </c>
      <c r="D38">
        <v>92.5</v>
      </c>
      <c r="E38">
        <v>121.8</v>
      </c>
    </row>
    <row r="39" spans="1:5" ht="12.75">
      <c r="A39">
        <v>1046</v>
      </c>
      <c r="B39">
        <v>85</v>
      </c>
      <c r="C39">
        <v>102</v>
      </c>
      <c r="D39">
        <v>95</v>
      </c>
      <c r="E39" s="16">
        <v>124.4</v>
      </c>
    </row>
    <row r="40" spans="1:5" ht="12.75">
      <c r="A40">
        <v>1047</v>
      </c>
      <c r="B40">
        <v>87.5</v>
      </c>
      <c r="C40">
        <v>104</v>
      </c>
      <c r="D40">
        <v>97.5</v>
      </c>
      <c r="E40" s="16">
        <v>127</v>
      </c>
    </row>
    <row r="41" spans="1:5" ht="12.75">
      <c r="A41">
        <v>1048</v>
      </c>
      <c r="B41">
        <v>90</v>
      </c>
      <c r="C41">
        <v>106</v>
      </c>
      <c r="D41">
        <v>100</v>
      </c>
      <c r="E41">
        <v>129.6</v>
      </c>
    </row>
    <row r="42" spans="1:5" ht="12.75">
      <c r="A42">
        <v>1049</v>
      </c>
      <c r="B42">
        <v>92.5</v>
      </c>
      <c r="C42">
        <v>108</v>
      </c>
      <c r="D42">
        <v>102.5</v>
      </c>
      <c r="E42">
        <v>132.3</v>
      </c>
    </row>
    <row r="43" spans="1:5" ht="12.75">
      <c r="A43">
        <v>1050</v>
      </c>
      <c r="B43">
        <v>95</v>
      </c>
      <c r="C43">
        <v>110</v>
      </c>
      <c r="D43">
        <v>105</v>
      </c>
      <c r="E43">
        <v>134.8</v>
      </c>
    </row>
    <row r="44" spans="1:5" ht="12.75">
      <c r="A44">
        <v>1051</v>
      </c>
      <c r="B44">
        <v>97.5</v>
      </c>
      <c r="C44">
        <v>112</v>
      </c>
      <c r="D44">
        <v>107.5</v>
      </c>
      <c r="E44">
        <v>137.5</v>
      </c>
    </row>
    <row r="45" spans="1:5" ht="12.75">
      <c r="A45">
        <v>1052</v>
      </c>
      <c r="B45">
        <v>100</v>
      </c>
      <c r="C45">
        <v>114</v>
      </c>
      <c r="D45">
        <v>110</v>
      </c>
      <c r="E45">
        <v>140.1</v>
      </c>
    </row>
    <row r="46" spans="1:5" ht="12.75">
      <c r="A46">
        <v>1053</v>
      </c>
      <c r="B46">
        <v>102.5</v>
      </c>
      <c r="C46">
        <v>116</v>
      </c>
      <c r="D46">
        <v>112.5</v>
      </c>
      <c r="E46">
        <v>142.7</v>
      </c>
    </row>
    <row r="47" spans="1:5" ht="12.75">
      <c r="A47">
        <v>1054</v>
      </c>
      <c r="B47">
        <v>105</v>
      </c>
      <c r="C47">
        <v>118</v>
      </c>
      <c r="D47">
        <v>115</v>
      </c>
      <c r="E47">
        <v>145.3</v>
      </c>
    </row>
    <row r="48" spans="1:5" ht="12.75">
      <c r="A48">
        <v>1055</v>
      </c>
      <c r="B48">
        <v>107.5</v>
      </c>
      <c r="C48">
        <v>120</v>
      </c>
      <c r="D48">
        <v>117.5</v>
      </c>
      <c r="E48" s="16">
        <v>148</v>
      </c>
    </row>
    <row r="49" spans="1:5" ht="12.75">
      <c r="A49">
        <v>1056</v>
      </c>
      <c r="B49">
        <v>110</v>
      </c>
      <c r="C49">
        <v>122</v>
      </c>
      <c r="D49">
        <v>120</v>
      </c>
      <c r="E49">
        <v>150.6</v>
      </c>
    </row>
    <row r="50" spans="1:5" ht="12.75">
      <c r="A50">
        <v>1057</v>
      </c>
      <c r="B50">
        <v>112.5</v>
      </c>
      <c r="C50">
        <v>124</v>
      </c>
      <c r="D50">
        <v>122.5</v>
      </c>
      <c r="E50">
        <v>153.2</v>
      </c>
    </row>
    <row r="51" spans="1:5" ht="12.75">
      <c r="A51">
        <v>1058</v>
      </c>
      <c r="B51">
        <v>115</v>
      </c>
      <c r="C51">
        <v>126</v>
      </c>
      <c r="D51">
        <v>125</v>
      </c>
      <c r="E51">
        <v>155.8</v>
      </c>
    </row>
    <row r="52" spans="1:5" ht="12.75">
      <c r="A52">
        <v>1059</v>
      </c>
      <c r="B52">
        <v>117.5</v>
      </c>
      <c r="C52">
        <v>128</v>
      </c>
      <c r="D52">
        <v>127.5</v>
      </c>
      <c r="E52">
        <v>158.4</v>
      </c>
    </row>
    <row r="53" spans="1:5" ht="12.75">
      <c r="A53">
        <v>1060</v>
      </c>
      <c r="B53">
        <v>120</v>
      </c>
      <c r="C53">
        <v>130</v>
      </c>
      <c r="D53">
        <v>130</v>
      </c>
      <c r="E53">
        <v>161.1</v>
      </c>
    </row>
    <row r="54" spans="1:5" ht="12.75">
      <c r="A54">
        <v>1061</v>
      </c>
      <c r="B54">
        <v>122.5</v>
      </c>
      <c r="C54">
        <v>132</v>
      </c>
      <c r="D54">
        <v>132.5</v>
      </c>
      <c r="E54">
        <v>163.7</v>
      </c>
    </row>
    <row r="55" spans="1:5" ht="12.75">
      <c r="A55">
        <v>1062</v>
      </c>
      <c r="B55">
        <v>125</v>
      </c>
      <c r="C55">
        <v>134</v>
      </c>
      <c r="D55">
        <v>135</v>
      </c>
      <c r="E55">
        <v>166.3</v>
      </c>
    </row>
    <row r="56" spans="1:5" ht="12.75">
      <c r="A56">
        <v>1063</v>
      </c>
      <c r="B56">
        <v>127.5</v>
      </c>
      <c r="C56">
        <v>136</v>
      </c>
      <c r="D56">
        <v>137.5</v>
      </c>
      <c r="E56" s="16">
        <v>169</v>
      </c>
    </row>
    <row r="57" spans="1:5" ht="12.75">
      <c r="A57">
        <v>1064</v>
      </c>
      <c r="B57">
        <v>130</v>
      </c>
      <c r="C57">
        <v>138</v>
      </c>
      <c r="D57">
        <v>140</v>
      </c>
      <c r="E57">
        <v>171.6</v>
      </c>
    </row>
    <row r="58" spans="1:5" ht="12.75">
      <c r="A58">
        <v>1065</v>
      </c>
      <c r="B58">
        <v>132.5</v>
      </c>
      <c r="C58">
        <v>140</v>
      </c>
      <c r="D58">
        <v>142.5</v>
      </c>
      <c r="E58">
        <v>174.2</v>
      </c>
    </row>
    <row r="59" spans="1:5" ht="12.75">
      <c r="A59">
        <v>1066</v>
      </c>
      <c r="B59">
        <v>135</v>
      </c>
      <c r="C59">
        <v>142</v>
      </c>
      <c r="D59">
        <v>145</v>
      </c>
      <c r="E59">
        <v>176.8</v>
      </c>
    </row>
    <row r="60" spans="1:5" ht="12.75">
      <c r="A60">
        <v>1067</v>
      </c>
      <c r="B60">
        <v>137.5</v>
      </c>
      <c r="C60">
        <v>144</v>
      </c>
      <c r="D60">
        <v>147.5</v>
      </c>
      <c r="E60">
        <v>179.5</v>
      </c>
    </row>
    <row r="61" spans="1:5" ht="12.75">
      <c r="A61">
        <v>1068</v>
      </c>
      <c r="B61">
        <v>140</v>
      </c>
      <c r="C61">
        <v>146</v>
      </c>
      <c r="D61">
        <v>150</v>
      </c>
      <c r="E61">
        <v>182.1</v>
      </c>
    </row>
    <row r="62" spans="1:5" ht="12.75">
      <c r="A62">
        <v>1069</v>
      </c>
      <c r="B62">
        <v>142.5</v>
      </c>
      <c r="C62">
        <v>148</v>
      </c>
      <c r="D62">
        <v>152.5</v>
      </c>
      <c r="E62">
        <v>184.7</v>
      </c>
    </row>
    <row r="63" spans="1:5" ht="12.75">
      <c r="A63">
        <v>1070</v>
      </c>
      <c r="B63">
        <v>145</v>
      </c>
      <c r="C63">
        <v>150</v>
      </c>
      <c r="D63">
        <v>155</v>
      </c>
      <c r="E63" s="16">
        <v>187.3</v>
      </c>
    </row>
    <row r="64" spans="1:5" ht="12.75">
      <c r="A64">
        <v>1071</v>
      </c>
      <c r="B64">
        <v>147.5</v>
      </c>
      <c r="C64">
        <v>152</v>
      </c>
      <c r="D64">
        <v>157.5</v>
      </c>
      <c r="E64" s="16">
        <v>190</v>
      </c>
    </row>
    <row r="65" spans="1:5" ht="12.75">
      <c r="A65">
        <v>1072</v>
      </c>
      <c r="B65">
        <v>150</v>
      </c>
      <c r="C65">
        <v>154</v>
      </c>
      <c r="D65">
        <v>160</v>
      </c>
      <c r="E65">
        <v>192.6</v>
      </c>
    </row>
    <row r="66" spans="1:5" ht="12.75">
      <c r="A66">
        <v>1073</v>
      </c>
      <c r="B66">
        <v>152.5</v>
      </c>
      <c r="C66">
        <v>156</v>
      </c>
      <c r="D66">
        <v>162.5</v>
      </c>
      <c r="E66">
        <v>195.2</v>
      </c>
    </row>
    <row r="67" spans="1:5" ht="12.75">
      <c r="A67">
        <v>1074</v>
      </c>
      <c r="B67">
        <v>155</v>
      </c>
      <c r="C67">
        <v>158</v>
      </c>
      <c r="D67">
        <v>165</v>
      </c>
      <c r="E67">
        <v>197.9</v>
      </c>
    </row>
    <row r="68" spans="1:5" ht="12.75">
      <c r="A68">
        <v>1075</v>
      </c>
      <c r="B68">
        <v>157.5</v>
      </c>
      <c r="C68">
        <v>160</v>
      </c>
      <c r="D68">
        <v>167.5</v>
      </c>
      <c r="E68">
        <v>200.5</v>
      </c>
    </row>
    <row r="69" spans="1:5" ht="12.75">
      <c r="A69">
        <v>1076</v>
      </c>
      <c r="B69">
        <v>160</v>
      </c>
      <c r="C69">
        <v>162</v>
      </c>
      <c r="D69">
        <v>170</v>
      </c>
      <c r="E69">
        <v>203.1</v>
      </c>
    </row>
    <row r="70" spans="1:5" ht="12.75">
      <c r="A70">
        <v>1077</v>
      </c>
      <c r="B70">
        <v>162.5</v>
      </c>
      <c r="C70">
        <v>164</v>
      </c>
      <c r="D70">
        <v>172.5</v>
      </c>
      <c r="E70">
        <v>205.8</v>
      </c>
    </row>
    <row r="71" spans="1:5" ht="12.75">
      <c r="A71">
        <v>1078</v>
      </c>
      <c r="B71">
        <v>165</v>
      </c>
      <c r="C71">
        <v>166</v>
      </c>
      <c r="D71">
        <v>175</v>
      </c>
      <c r="E71">
        <v>208.4</v>
      </c>
    </row>
    <row r="72" spans="1:5" ht="12.75">
      <c r="A72">
        <v>1079</v>
      </c>
      <c r="B72">
        <v>167.5</v>
      </c>
      <c r="C72">
        <v>168</v>
      </c>
      <c r="D72">
        <v>177.5</v>
      </c>
      <c r="E72" s="16">
        <v>211</v>
      </c>
    </row>
    <row r="73" spans="1:5" ht="12.75">
      <c r="A73">
        <v>1080</v>
      </c>
      <c r="B73">
        <v>170</v>
      </c>
      <c r="C73">
        <v>170</v>
      </c>
      <c r="D73">
        <v>180</v>
      </c>
      <c r="E73">
        <v>213.7</v>
      </c>
    </row>
    <row r="74" spans="1:5" ht="12.75">
      <c r="A74">
        <v>1081</v>
      </c>
      <c r="B74">
        <v>172.5</v>
      </c>
      <c r="C74">
        <v>172</v>
      </c>
      <c r="D74">
        <v>182.5</v>
      </c>
      <c r="E74">
        <v>216.3</v>
      </c>
    </row>
    <row r="75" spans="1:5" ht="12.75">
      <c r="A75">
        <v>1082</v>
      </c>
      <c r="B75">
        <v>175</v>
      </c>
      <c r="C75">
        <v>174</v>
      </c>
      <c r="D75">
        <v>185</v>
      </c>
      <c r="E75">
        <v>218.9</v>
      </c>
    </row>
    <row r="76" spans="1:5" ht="12.75">
      <c r="A76">
        <v>1083</v>
      </c>
      <c r="B76">
        <v>177.5</v>
      </c>
      <c r="C76">
        <v>176</v>
      </c>
      <c r="D76">
        <v>187.5</v>
      </c>
      <c r="E76">
        <v>221.6</v>
      </c>
    </row>
    <row r="77" spans="1:5" ht="12.75">
      <c r="A77">
        <v>1084</v>
      </c>
      <c r="B77">
        <v>180</v>
      </c>
      <c r="C77">
        <v>178</v>
      </c>
      <c r="D77">
        <v>190</v>
      </c>
      <c r="E77">
        <v>224.2</v>
      </c>
    </row>
    <row r="78" spans="1:5" ht="12.75">
      <c r="A78">
        <v>1085</v>
      </c>
      <c r="B78">
        <v>182.5</v>
      </c>
      <c r="C78">
        <v>180</v>
      </c>
      <c r="D78">
        <v>192.5</v>
      </c>
      <c r="E78">
        <v>226.9</v>
      </c>
    </row>
    <row r="79" spans="1:5" ht="12.75">
      <c r="A79">
        <v>1086</v>
      </c>
      <c r="B79">
        <v>185</v>
      </c>
      <c r="C79">
        <v>182</v>
      </c>
      <c r="D79">
        <v>195</v>
      </c>
      <c r="E79">
        <v>229.5</v>
      </c>
    </row>
    <row r="80" spans="1:5" ht="12.75">
      <c r="A80">
        <v>1087</v>
      </c>
      <c r="B80">
        <v>187.5</v>
      </c>
      <c r="C80">
        <v>184</v>
      </c>
      <c r="D80">
        <v>197.5</v>
      </c>
      <c r="E80">
        <v>232.1</v>
      </c>
    </row>
    <row r="81" spans="1:5" ht="12.75">
      <c r="A81">
        <v>1088</v>
      </c>
      <c r="B81">
        <v>190</v>
      </c>
      <c r="C81">
        <v>186</v>
      </c>
      <c r="D81">
        <v>200</v>
      </c>
      <c r="E81">
        <v>234.8</v>
      </c>
    </row>
    <row r="82" spans="1:5" ht="12.75">
      <c r="A82">
        <v>1089</v>
      </c>
      <c r="B82">
        <v>192.5</v>
      </c>
      <c r="C82">
        <v>188</v>
      </c>
      <c r="D82">
        <v>202.5</v>
      </c>
      <c r="E82">
        <v>237.4</v>
      </c>
    </row>
    <row r="83" spans="1:5" ht="12.75">
      <c r="A83">
        <v>1090</v>
      </c>
      <c r="B83">
        <v>195</v>
      </c>
      <c r="C83">
        <v>190</v>
      </c>
      <c r="D83">
        <v>205</v>
      </c>
      <c r="E83">
        <v>240</v>
      </c>
    </row>
    <row r="84" spans="1:5" ht="12.75">
      <c r="A84">
        <v>1091</v>
      </c>
      <c r="B84">
        <v>197.5</v>
      </c>
      <c r="C84">
        <v>192</v>
      </c>
      <c r="D84">
        <v>207.5</v>
      </c>
      <c r="E84">
        <v>242.7</v>
      </c>
    </row>
    <row r="85" spans="1:5" ht="12.75">
      <c r="A85">
        <v>1092</v>
      </c>
      <c r="B85">
        <v>200</v>
      </c>
      <c r="C85">
        <v>194</v>
      </c>
      <c r="D85">
        <v>210</v>
      </c>
      <c r="E85">
        <v>245.3</v>
      </c>
    </row>
    <row r="86" spans="1:5" ht="12.75">
      <c r="A86">
        <v>1093</v>
      </c>
      <c r="B86">
        <v>202.5</v>
      </c>
      <c r="C86">
        <v>196</v>
      </c>
      <c r="D86">
        <v>212.5</v>
      </c>
      <c r="E86">
        <v>248</v>
      </c>
    </row>
    <row r="87" spans="1:5" ht="12.75">
      <c r="A87">
        <v>1094</v>
      </c>
      <c r="B87">
        <v>205</v>
      </c>
      <c r="C87">
        <v>198</v>
      </c>
      <c r="D87">
        <v>215</v>
      </c>
      <c r="E87">
        <v>250.6</v>
      </c>
    </row>
    <row r="88" spans="1:5" ht="12.75">
      <c r="A88">
        <v>1095</v>
      </c>
      <c r="B88">
        <v>207.5</v>
      </c>
      <c r="C88">
        <v>200</v>
      </c>
      <c r="D88">
        <v>217.5</v>
      </c>
      <c r="E88">
        <v>253.3</v>
      </c>
    </row>
    <row r="89" spans="1:5" ht="12.75">
      <c r="A89">
        <v>1096</v>
      </c>
      <c r="B89">
        <v>210</v>
      </c>
      <c r="C89">
        <v>202</v>
      </c>
      <c r="D89">
        <v>220</v>
      </c>
      <c r="E89">
        <v>255.9</v>
      </c>
    </row>
    <row r="90" spans="1:5" ht="12.75">
      <c r="A90">
        <v>1097</v>
      </c>
      <c r="B90">
        <v>212.5</v>
      </c>
      <c r="C90">
        <v>204</v>
      </c>
      <c r="D90">
        <v>222.5</v>
      </c>
      <c r="E90">
        <v>258.5</v>
      </c>
    </row>
    <row r="91" spans="1:5" ht="12.75">
      <c r="A91">
        <v>1098</v>
      </c>
      <c r="B91">
        <v>215</v>
      </c>
      <c r="C91">
        <v>206</v>
      </c>
      <c r="D91">
        <v>225</v>
      </c>
      <c r="E91">
        <v>261.2</v>
      </c>
    </row>
    <row r="92" spans="1:5" ht="12.75">
      <c r="A92">
        <v>1099</v>
      </c>
      <c r="B92">
        <v>217.5</v>
      </c>
      <c r="C92">
        <v>208</v>
      </c>
      <c r="D92">
        <v>227.5</v>
      </c>
      <c r="E92">
        <v>263.8</v>
      </c>
    </row>
    <row r="93" spans="1:5" ht="12.75">
      <c r="A93">
        <v>1100</v>
      </c>
      <c r="B93">
        <v>220</v>
      </c>
      <c r="C93">
        <v>210</v>
      </c>
      <c r="D93">
        <v>230</v>
      </c>
      <c r="E93">
        <v>266.5</v>
      </c>
    </row>
    <row r="94" spans="1:5" ht="12.75">
      <c r="A94">
        <v>1101</v>
      </c>
      <c r="B94">
        <v>222.5</v>
      </c>
      <c r="C94">
        <v>212</v>
      </c>
      <c r="D94">
        <v>232.5</v>
      </c>
      <c r="E94">
        <v>269.1</v>
      </c>
    </row>
    <row r="95" spans="1:5" ht="12.75">
      <c r="A95">
        <v>1102</v>
      </c>
      <c r="B95">
        <v>225</v>
      </c>
      <c r="C95">
        <v>214</v>
      </c>
      <c r="D95">
        <v>235</v>
      </c>
      <c r="E95">
        <v>271.8</v>
      </c>
    </row>
    <row r="96" spans="1:5" ht="12.75">
      <c r="A96">
        <v>1103</v>
      </c>
      <c r="B96">
        <v>227.5</v>
      </c>
      <c r="C96">
        <v>216</v>
      </c>
      <c r="D96">
        <v>237.5</v>
      </c>
      <c r="E96">
        <v>274.4</v>
      </c>
    </row>
    <row r="97" spans="1:5" ht="12.75">
      <c r="A97">
        <v>1104</v>
      </c>
      <c r="B97">
        <v>230</v>
      </c>
      <c r="C97">
        <v>218</v>
      </c>
      <c r="D97">
        <v>240</v>
      </c>
      <c r="E97">
        <v>277.1</v>
      </c>
    </row>
    <row r="98" spans="1:5" ht="12.75">
      <c r="A98">
        <v>1105</v>
      </c>
      <c r="B98">
        <v>232.5</v>
      </c>
      <c r="C98">
        <v>220</v>
      </c>
      <c r="D98">
        <v>242.5</v>
      </c>
      <c r="E98">
        <v>279.1</v>
      </c>
    </row>
    <row r="99" spans="1:5" ht="12.75">
      <c r="A99">
        <v>1106</v>
      </c>
      <c r="B99">
        <v>235</v>
      </c>
      <c r="C99">
        <v>222</v>
      </c>
      <c r="D99">
        <v>245</v>
      </c>
      <c r="E99" s="16">
        <v>282.4</v>
      </c>
    </row>
    <row r="100" spans="1:5" ht="12.75">
      <c r="A100">
        <v>1107</v>
      </c>
      <c r="B100">
        <v>237.5</v>
      </c>
      <c r="C100">
        <v>224</v>
      </c>
      <c r="D100">
        <v>247.5</v>
      </c>
      <c r="E100" s="16">
        <v>285</v>
      </c>
    </row>
    <row r="101" spans="1:5" ht="12.75">
      <c r="A101">
        <v>1108</v>
      </c>
      <c r="B101">
        <v>240</v>
      </c>
      <c r="C101">
        <v>226</v>
      </c>
      <c r="D101">
        <v>250</v>
      </c>
      <c r="E101">
        <v>287.7</v>
      </c>
    </row>
    <row r="102" spans="1:5" ht="12.75">
      <c r="A102">
        <v>1109</v>
      </c>
      <c r="B102">
        <v>242.5</v>
      </c>
      <c r="C102">
        <v>228</v>
      </c>
      <c r="D102">
        <v>252.5</v>
      </c>
      <c r="E102">
        <v>290.3</v>
      </c>
    </row>
    <row r="103" spans="1:5" ht="12.75">
      <c r="A103">
        <v>1110</v>
      </c>
      <c r="B103">
        <v>245</v>
      </c>
      <c r="C103">
        <v>230</v>
      </c>
      <c r="D103">
        <v>255</v>
      </c>
      <c r="E103" s="16">
        <v>293</v>
      </c>
    </row>
    <row r="104" spans="1:5" ht="12.75">
      <c r="A104">
        <v>1111</v>
      </c>
      <c r="B104">
        <v>247.5</v>
      </c>
      <c r="C104">
        <v>232</v>
      </c>
      <c r="D104">
        <v>257.5</v>
      </c>
      <c r="E104">
        <v>295.6</v>
      </c>
    </row>
    <row r="105" spans="1:5" ht="12.75">
      <c r="A105">
        <v>1112</v>
      </c>
      <c r="B105">
        <v>250</v>
      </c>
      <c r="C105">
        <v>234</v>
      </c>
      <c r="D105">
        <v>260</v>
      </c>
      <c r="E105">
        <v>298.3</v>
      </c>
    </row>
    <row r="106" spans="1:5" ht="12.75">
      <c r="A106">
        <v>1113</v>
      </c>
      <c r="B106">
        <v>252.5</v>
      </c>
      <c r="C106">
        <v>236</v>
      </c>
      <c r="D106">
        <v>262.5</v>
      </c>
      <c r="E106">
        <v>300.9</v>
      </c>
    </row>
    <row r="107" spans="1:5" ht="12.75">
      <c r="A107">
        <v>1114</v>
      </c>
      <c r="B107">
        <v>255</v>
      </c>
      <c r="C107">
        <v>238</v>
      </c>
      <c r="D107">
        <v>265</v>
      </c>
      <c r="E107">
        <v>303.6</v>
      </c>
    </row>
    <row r="108" spans="1:5" ht="12.75">
      <c r="A108">
        <v>1115</v>
      </c>
      <c r="B108">
        <v>257.5</v>
      </c>
      <c r="C108">
        <v>240</v>
      </c>
      <c r="D108">
        <v>267.5</v>
      </c>
      <c r="E108">
        <v>306.2</v>
      </c>
    </row>
    <row r="109" spans="1:5" ht="12.75">
      <c r="A109">
        <v>1116</v>
      </c>
      <c r="B109">
        <v>260</v>
      </c>
      <c r="C109">
        <v>242</v>
      </c>
      <c r="D109">
        <v>270</v>
      </c>
      <c r="E109">
        <v>308.9</v>
      </c>
    </row>
    <row r="110" spans="1:5" ht="12.75">
      <c r="A110">
        <v>1117</v>
      </c>
      <c r="B110">
        <v>262.5</v>
      </c>
      <c r="C110">
        <v>244</v>
      </c>
      <c r="D110">
        <v>272.5</v>
      </c>
      <c r="E110">
        <v>311.5</v>
      </c>
    </row>
    <row r="111" spans="1:5" ht="12.75">
      <c r="A111">
        <v>1118</v>
      </c>
      <c r="B111">
        <v>265</v>
      </c>
      <c r="C111">
        <v>246</v>
      </c>
      <c r="D111">
        <v>275</v>
      </c>
      <c r="E111">
        <v>314.2</v>
      </c>
    </row>
    <row r="112" spans="1:5" ht="12.75">
      <c r="A112">
        <v>1119</v>
      </c>
      <c r="B112">
        <v>267.5</v>
      </c>
      <c r="C112">
        <v>248</v>
      </c>
      <c r="D112">
        <v>277.5</v>
      </c>
      <c r="E112">
        <v>316.9</v>
      </c>
    </row>
    <row r="113" spans="1:5" ht="12.75">
      <c r="A113">
        <v>1120</v>
      </c>
      <c r="B113">
        <v>270</v>
      </c>
      <c r="C113">
        <v>250</v>
      </c>
      <c r="D113">
        <v>280</v>
      </c>
      <c r="E113">
        <v>319.5</v>
      </c>
    </row>
    <row r="114" spans="1:5" ht="12.75">
      <c r="A114">
        <v>1121</v>
      </c>
      <c r="B114">
        <v>272.5</v>
      </c>
      <c r="C114">
        <v>252</v>
      </c>
      <c r="D114">
        <v>282.5</v>
      </c>
      <c r="E114">
        <v>322.2</v>
      </c>
    </row>
    <row r="115" spans="1:5" ht="12.75">
      <c r="A115">
        <v>1122</v>
      </c>
      <c r="B115">
        <v>275</v>
      </c>
      <c r="C115">
        <v>254</v>
      </c>
      <c r="D115">
        <v>285</v>
      </c>
      <c r="E115">
        <v>324.8</v>
      </c>
    </row>
    <row r="116" spans="1:5" ht="12.75">
      <c r="A116">
        <v>1123</v>
      </c>
      <c r="B116">
        <v>277.5</v>
      </c>
      <c r="C116">
        <v>256</v>
      </c>
      <c r="D116">
        <v>287.5</v>
      </c>
      <c r="E116">
        <v>327.5</v>
      </c>
    </row>
    <row r="117" spans="1:5" ht="12.75">
      <c r="A117">
        <v>1124</v>
      </c>
      <c r="B117">
        <v>280</v>
      </c>
      <c r="C117">
        <v>258</v>
      </c>
      <c r="D117">
        <v>290</v>
      </c>
      <c r="E117">
        <v>330.2</v>
      </c>
    </row>
    <row r="118" spans="1:5" ht="12.75">
      <c r="A118">
        <v>1125</v>
      </c>
      <c r="B118">
        <v>282.5</v>
      </c>
      <c r="C118">
        <v>260</v>
      </c>
      <c r="D118">
        <v>292.5</v>
      </c>
      <c r="E118" s="16">
        <v>332.85</v>
      </c>
    </row>
    <row r="119" spans="1:5" ht="12.75">
      <c r="A119">
        <v>1126</v>
      </c>
      <c r="B119">
        <v>285</v>
      </c>
      <c r="C119">
        <v>262</v>
      </c>
      <c r="D119">
        <v>295</v>
      </c>
      <c r="E119" s="16">
        <v>335.52</v>
      </c>
    </row>
    <row r="120" spans="1:5" ht="12.75">
      <c r="A120">
        <v>1127</v>
      </c>
      <c r="B120">
        <v>287.5</v>
      </c>
      <c r="C120">
        <v>264</v>
      </c>
      <c r="D120">
        <v>297.5</v>
      </c>
      <c r="E120" s="16">
        <v>338.19</v>
      </c>
    </row>
    <row r="121" spans="1:5" ht="12.75">
      <c r="A121">
        <v>1128</v>
      </c>
      <c r="B121">
        <v>290</v>
      </c>
      <c r="C121">
        <v>266</v>
      </c>
      <c r="D121">
        <v>300</v>
      </c>
      <c r="E121" s="16">
        <v>340.86</v>
      </c>
    </row>
    <row r="122" spans="1:5" ht="12.75">
      <c r="A122">
        <v>1129</v>
      </c>
      <c r="B122">
        <v>292.5</v>
      </c>
      <c r="C122">
        <v>268</v>
      </c>
      <c r="D122">
        <v>302.5</v>
      </c>
      <c r="E122" s="16">
        <v>343.53</v>
      </c>
    </row>
    <row r="123" spans="1:5" ht="12.75">
      <c r="A123">
        <v>1130</v>
      </c>
      <c r="B123">
        <v>295</v>
      </c>
      <c r="C123">
        <v>270</v>
      </c>
      <c r="D123">
        <v>305</v>
      </c>
      <c r="E123" s="16">
        <v>346.2</v>
      </c>
    </row>
    <row r="124" spans="1:5" ht="12.75">
      <c r="A124">
        <v>1131</v>
      </c>
      <c r="B124">
        <v>297.5</v>
      </c>
      <c r="C124">
        <v>272</v>
      </c>
      <c r="D124">
        <v>307.5</v>
      </c>
      <c r="E124" s="16">
        <v>348.87</v>
      </c>
    </row>
    <row r="125" spans="1:5" ht="12.75">
      <c r="A125">
        <v>1132</v>
      </c>
      <c r="B125">
        <v>300</v>
      </c>
      <c r="C125">
        <v>274</v>
      </c>
      <c r="D125">
        <v>310</v>
      </c>
      <c r="E125" s="16">
        <v>351.54</v>
      </c>
    </row>
    <row r="126" spans="1:5" ht="12.75">
      <c r="A126">
        <v>1133</v>
      </c>
      <c r="B126">
        <v>302.5</v>
      </c>
      <c r="C126">
        <v>276</v>
      </c>
      <c r="D126">
        <v>312.5</v>
      </c>
      <c r="E126" s="16">
        <v>354.21</v>
      </c>
    </row>
    <row r="127" spans="1:5" ht="12.75">
      <c r="A127">
        <v>1134</v>
      </c>
      <c r="B127">
        <v>305</v>
      </c>
      <c r="C127">
        <v>278</v>
      </c>
      <c r="D127">
        <v>315</v>
      </c>
      <c r="E127" s="16">
        <v>356.88</v>
      </c>
    </row>
    <row r="128" spans="1:5" ht="12.75">
      <c r="A128">
        <v>1135</v>
      </c>
      <c r="B128">
        <v>307.5</v>
      </c>
      <c r="C128">
        <v>280</v>
      </c>
      <c r="D128">
        <v>317.5</v>
      </c>
      <c r="E128" s="16">
        <v>359.549999999999</v>
      </c>
    </row>
    <row r="129" spans="1:5" ht="12.75">
      <c r="A129">
        <v>1136</v>
      </c>
      <c r="B129">
        <v>310</v>
      </c>
      <c r="C129">
        <v>282</v>
      </c>
      <c r="D129">
        <v>320</v>
      </c>
      <c r="E129" s="16">
        <v>362.22</v>
      </c>
    </row>
    <row r="130" spans="1:5" ht="12.75">
      <c r="A130">
        <v>1137</v>
      </c>
      <c r="B130">
        <v>312.5</v>
      </c>
      <c r="C130">
        <v>284</v>
      </c>
      <c r="D130">
        <v>322.5</v>
      </c>
      <c r="E130" s="16">
        <v>364.889999999999</v>
      </c>
    </row>
    <row r="131" spans="1:5" ht="12.75">
      <c r="A131">
        <v>1138</v>
      </c>
      <c r="B131">
        <v>315</v>
      </c>
      <c r="C131">
        <v>286</v>
      </c>
      <c r="D131">
        <v>325</v>
      </c>
      <c r="E131" s="16">
        <v>367.559999999999</v>
      </c>
    </row>
    <row r="132" spans="1:5" ht="12.75">
      <c r="A132">
        <v>1139</v>
      </c>
      <c r="B132">
        <v>317.5</v>
      </c>
      <c r="C132">
        <v>288</v>
      </c>
      <c r="D132">
        <v>327.5</v>
      </c>
      <c r="E132" s="16">
        <v>370.229999999999</v>
      </c>
    </row>
    <row r="133" spans="1:5" ht="12.75">
      <c r="A133">
        <v>1140</v>
      </c>
      <c r="B133">
        <v>320</v>
      </c>
      <c r="C133">
        <v>290</v>
      </c>
      <c r="D133">
        <v>330</v>
      </c>
      <c r="E133" s="16">
        <v>372.899999999999</v>
      </c>
    </row>
    <row r="134" spans="1:5" ht="12.75">
      <c r="A134">
        <v>1141</v>
      </c>
      <c r="B134">
        <v>322.5</v>
      </c>
      <c r="C134">
        <v>292</v>
      </c>
      <c r="D134">
        <v>332.5</v>
      </c>
      <c r="E134" s="16">
        <v>375.569999999995</v>
      </c>
    </row>
    <row r="135" spans="1:5" ht="12.75">
      <c r="A135">
        <v>1142</v>
      </c>
      <c r="B135">
        <v>325</v>
      </c>
      <c r="C135">
        <v>294</v>
      </c>
      <c r="D135">
        <v>335</v>
      </c>
      <c r="E135" s="16">
        <v>378.239999999994</v>
      </c>
    </row>
    <row r="136" spans="1:5" ht="12.75">
      <c r="A136">
        <v>1143</v>
      </c>
      <c r="B136">
        <v>327.5</v>
      </c>
      <c r="C136">
        <v>296</v>
      </c>
      <c r="D136">
        <v>337.5</v>
      </c>
      <c r="E136" s="16">
        <v>380.909999999993</v>
      </c>
    </row>
    <row r="137" spans="1:5" ht="12.75">
      <c r="A137">
        <v>1144</v>
      </c>
      <c r="B137">
        <v>330</v>
      </c>
      <c r="C137">
        <v>298</v>
      </c>
      <c r="D137">
        <v>340</v>
      </c>
      <c r="E137" s="16">
        <v>383.579999999992</v>
      </c>
    </row>
    <row r="138" spans="1:5" ht="12.75">
      <c r="A138">
        <v>1145</v>
      </c>
      <c r="B138">
        <v>332.5</v>
      </c>
      <c r="C138">
        <v>300</v>
      </c>
      <c r="D138">
        <v>342.5</v>
      </c>
      <c r="E138" s="16">
        <v>386.249999999991</v>
      </c>
    </row>
    <row r="139" spans="1:5" ht="12.75">
      <c r="A139">
        <v>1146</v>
      </c>
      <c r="B139">
        <v>335</v>
      </c>
      <c r="C139">
        <v>302</v>
      </c>
      <c r="D139">
        <v>345</v>
      </c>
      <c r="E139" s="16">
        <v>388.91999999999</v>
      </c>
    </row>
    <row r="140" spans="1:5" ht="12.75">
      <c r="A140">
        <v>1147</v>
      </c>
      <c r="B140">
        <v>337.5</v>
      </c>
      <c r="C140">
        <v>304</v>
      </c>
      <c r="D140">
        <v>347.5</v>
      </c>
      <c r="E140" s="16">
        <v>391.589999999989</v>
      </c>
    </row>
    <row r="141" spans="1:5" ht="12.75">
      <c r="A141">
        <v>1148</v>
      </c>
      <c r="B141">
        <v>340</v>
      </c>
      <c r="C141">
        <v>306</v>
      </c>
      <c r="D141">
        <v>350</v>
      </c>
      <c r="E141" s="16">
        <v>394.259999999988</v>
      </c>
    </row>
    <row r="142" spans="1:5" ht="12.75">
      <c r="A142">
        <v>1149</v>
      </c>
      <c r="B142">
        <v>342.5</v>
      </c>
      <c r="C142">
        <v>308</v>
      </c>
      <c r="D142">
        <v>352.5</v>
      </c>
      <c r="E142" s="16">
        <v>396.929999999987</v>
      </c>
    </row>
    <row r="143" spans="1:5" ht="12.75">
      <c r="A143">
        <v>1150</v>
      </c>
      <c r="B143">
        <v>345</v>
      </c>
      <c r="C143">
        <v>310</v>
      </c>
      <c r="D143">
        <v>355</v>
      </c>
      <c r="E143" s="16">
        <v>399.599999999986</v>
      </c>
    </row>
    <row r="144" ht="12.75">
      <c r="E144" s="16"/>
    </row>
    <row r="145" spans="1:6" ht="39" customHeight="1">
      <c r="A145" s="100" t="s">
        <v>195</v>
      </c>
      <c r="B145" s="100"/>
      <c r="C145" s="100"/>
      <c r="D145" s="100"/>
      <c r="E145" s="100"/>
      <c r="F145" s="100"/>
    </row>
    <row r="147" spans="1:6" ht="34.5" customHeight="1">
      <c r="A147" s="22" t="s">
        <v>183</v>
      </c>
      <c r="B147" s="117" t="s">
        <v>182</v>
      </c>
      <c r="C147" s="117"/>
      <c r="D147" s="117"/>
      <c r="E147" s="117"/>
      <c r="F147" s="117"/>
    </row>
    <row r="148" spans="2:6" ht="12.75">
      <c r="B148" s="25">
        <v>10</v>
      </c>
      <c r="C148" s="25">
        <v>9</v>
      </c>
      <c r="D148" s="25">
        <v>8</v>
      </c>
      <c r="E148" s="25">
        <v>7</v>
      </c>
      <c r="F148" s="25">
        <v>6</v>
      </c>
    </row>
    <row r="149" spans="2:6" ht="12.75">
      <c r="B149" s="25" t="s">
        <v>192</v>
      </c>
      <c r="C149" s="25" t="s">
        <v>192</v>
      </c>
      <c r="D149" s="25" t="s">
        <v>192</v>
      </c>
      <c r="E149" s="25" t="s">
        <v>192</v>
      </c>
      <c r="F149" s="25" t="s">
        <v>192</v>
      </c>
    </row>
    <row r="150" spans="1:6" ht="12.75">
      <c r="A150" s="16">
        <v>12.5</v>
      </c>
      <c r="B150">
        <v>170</v>
      </c>
      <c r="C150">
        <v>240</v>
      </c>
      <c r="D150">
        <v>310</v>
      </c>
      <c r="E150">
        <v>370</v>
      </c>
      <c r="F150">
        <v>440</v>
      </c>
    </row>
    <row r="151" spans="1:6" ht="12.75">
      <c r="A151" s="16">
        <v>13</v>
      </c>
      <c r="B151">
        <v>200</v>
      </c>
      <c r="C151">
        <v>270</v>
      </c>
      <c r="D151">
        <v>340</v>
      </c>
      <c r="E151">
        <v>400</v>
      </c>
      <c r="F151">
        <v>470</v>
      </c>
    </row>
    <row r="152" spans="1:6" ht="12.75">
      <c r="A152" s="16">
        <v>13.5</v>
      </c>
      <c r="B152">
        <v>240</v>
      </c>
      <c r="C152">
        <v>310</v>
      </c>
      <c r="D152">
        <v>370</v>
      </c>
      <c r="E152">
        <v>440</v>
      </c>
      <c r="F152">
        <v>510</v>
      </c>
    </row>
    <row r="153" spans="1:6" ht="12.75">
      <c r="A153" s="16">
        <v>14</v>
      </c>
      <c r="B153">
        <v>270</v>
      </c>
      <c r="C153">
        <v>340</v>
      </c>
      <c r="D153">
        <v>400</v>
      </c>
      <c r="E153">
        <v>470</v>
      </c>
      <c r="F153">
        <v>540</v>
      </c>
    </row>
    <row r="154" spans="1:6" ht="12.75">
      <c r="A154" s="16">
        <v>14.5</v>
      </c>
      <c r="B154">
        <v>310</v>
      </c>
      <c r="C154">
        <v>370</v>
      </c>
      <c r="D154">
        <v>440</v>
      </c>
      <c r="E154">
        <v>510</v>
      </c>
      <c r="F154">
        <v>580</v>
      </c>
    </row>
    <row r="155" spans="1:6" ht="12.75">
      <c r="A155" s="16">
        <v>15</v>
      </c>
      <c r="B155">
        <v>340</v>
      </c>
      <c r="C155">
        <v>400</v>
      </c>
      <c r="D155">
        <v>470</v>
      </c>
      <c r="E155">
        <v>540</v>
      </c>
      <c r="F155">
        <v>610</v>
      </c>
    </row>
    <row r="156" spans="1:6" ht="12.75">
      <c r="A156" s="16">
        <v>15.5</v>
      </c>
      <c r="B156">
        <v>370</v>
      </c>
      <c r="C156">
        <v>440</v>
      </c>
      <c r="D156">
        <v>510</v>
      </c>
      <c r="E156">
        <v>580</v>
      </c>
      <c r="F156">
        <v>650</v>
      </c>
    </row>
    <row r="157" spans="1:6" ht="12.75">
      <c r="A157" s="16">
        <v>16</v>
      </c>
      <c r="B157">
        <v>400</v>
      </c>
      <c r="C157">
        <v>470</v>
      </c>
      <c r="D157">
        <v>540</v>
      </c>
      <c r="E157">
        <v>610</v>
      </c>
      <c r="F157">
        <v>680</v>
      </c>
    </row>
    <row r="158" spans="1:6" ht="12.75">
      <c r="A158" s="16">
        <v>16.5</v>
      </c>
      <c r="B158">
        <v>440</v>
      </c>
      <c r="C158">
        <v>510</v>
      </c>
      <c r="D158">
        <v>580</v>
      </c>
      <c r="E158">
        <v>650</v>
      </c>
      <c r="F158">
        <v>710</v>
      </c>
    </row>
    <row r="159" spans="1:6" ht="12.75">
      <c r="A159" s="16">
        <v>17</v>
      </c>
      <c r="B159">
        <v>470</v>
      </c>
      <c r="C159">
        <v>540</v>
      </c>
      <c r="D159">
        <v>610</v>
      </c>
      <c r="E159">
        <v>680</v>
      </c>
      <c r="F159">
        <v>740</v>
      </c>
    </row>
    <row r="160" spans="1:6" ht="12.75">
      <c r="A160" s="16">
        <v>17.5</v>
      </c>
      <c r="B160">
        <v>510</v>
      </c>
      <c r="C160">
        <v>580</v>
      </c>
      <c r="D160">
        <v>650</v>
      </c>
      <c r="E160">
        <v>710</v>
      </c>
      <c r="F160">
        <v>780</v>
      </c>
    </row>
    <row r="161" spans="1:6" ht="12.75">
      <c r="A161" s="16">
        <v>18</v>
      </c>
      <c r="B161">
        <v>540</v>
      </c>
      <c r="C161">
        <v>610</v>
      </c>
      <c r="D161">
        <v>680</v>
      </c>
      <c r="E161">
        <v>740</v>
      </c>
      <c r="F161">
        <v>810</v>
      </c>
    </row>
    <row r="162" spans="1:6" ht="12.75">
      <c r="A162" s="16">
        <v>18.5</v>
      </c>
      <c r="B162">
        <v>580</v>
      </c>
      <c r="C162">
        <v>650</v>
      </c>
      <c r="D162">
        <v>710</v>
      </c>
      <c r="E162">
        <v>780</v>
      </c>
      <c r="F162">
        <v>840</v>
      </c>
    </row>
    <row r="163" spans="1:6" ht="12.75">
      <c r="A163" s="16">
        <v>19</v>
      </c>
      <c r="B163">
        <v>610</v>
      </c>
      <c r="C163">
        <v>680</v>
      </c>
      <c r="D163">
        <v>740</v>
      </c>
      <c r="E163">
        <v>810</v>
      </c>
      <c r="F163">
        <v>870</v>
      </c>
    </row>
    <row r="164" spans="1:6" ht="12.75">
      <c r="A164" s="16">
        <v>19.5</v>
      </c>
      <c r="B164">
        <v>650</v>
      </c>
      <c r="C164">
        <v>710</v>
      </c>
      <c r="D164">
        <v>780</v>
      </c>
      <c r="E164">
        <v>840</v>
      </c>
      <c r="F164">
        <v>910</v>
      </c>
    </row>
    <row r="165" spans="1:6" ht="12.75">
      <c r="A165" s="16">
        <v>20</v>
      </c>
      <c r="B165">
        <v>680</v>
      </c>
      <c r="C165">
        <v>740</v>
      </c>
      <c r="D165">
        <v>810</v>
      </c>
      <c r="E165">
        <v>870</v>
      </c>
      <c r="F165">
        <v>940</v>
      </c>
    </row>
    <row r="166" spans="1:6" ht="12.75">
      <c r="A166" s="16">
        <v>20.5</v>
      </c>
      <c r="B166">
        <v>710</v>
      </c>
      <c r="C166">
        <v>780</v>
      </c>
      <c r="D166">
        <v>840</v>
      </c>
      <c r="E166">
        <v>910</v>
      </c>
      <c r="F166">
        <v>970</v>
      </c>
    </row>
    <row r="167" spans="1:6" ht="12.75">
      <c r="A167" s="16">
        <v>21</v>
      </c>
      <c r="B167">
        <v>740</v>
      </c>
      <c r="C167">
        <v>810</v>
      </c>
      <c r="D167">
        <v>870</v>
      </c>
      <c r="E167">
        <v>940</v>
      </c>
      <c r="F167">
        <v>1000</v>
      </c>
    </row>
    <row r="168" spans="1:5" ht="12.75">
      <c r="A168" s="16">
        <v>21.5</v>
      </c>
      <c r="B168">
        <v>780</v>
      </c>
      <c r="C168">
        <v>840</v>
      </c>
      <c r="D168">
        <v>910</v>
      </c>
      <c r="E168">
        <v>970</v>
      </c>
    </row>
    <row r="169" spans="1:5" ht="12.75">
      <c r="A169" s="16">
        <v>22</v>
      </c>
      <c r="B169">
        <v>810</v>
      </c>
      <c r="C169">
        <v>870</v>
      </c>
      <c r="D169">
        <v>940</v>
      </c>
      <c r="E169">
        <v>1000</v>
      </c>
    </row>
    <row r="170" spans="1:4" ht="12.75">
      <c r="A170" s="16">
        <v>22.5</v>
      </c>
      <c r="B170">
        <v>840</v>
      </c>
      <c r="C170">
        <v>910</v>
      </c>
      <c r="D170">
        <v>970</v>
      </c>
    </row>
    <row r="171" spans="1:4" ht="12.75">
      <c r="A171" s="16">
        <v>23</v>
      </c>
      <c r="B171">
        <v>870</v>
      </c>
      <c r="C171">
        <v>940</v>
      </c>
      <c r="D171">
        <v>1000</v>
      </c>
    </row>
    <row r="172" spans="1:3" ht="12.75">
      <c r="A172" s="16">
        <v>23.5</v>
      </c>
      <c r="B172">
        <v>910</v>
      </c>
      <c r="C172">
        <v>970</v>
      </c>
    </row>
    <row r="173" spans="1:3" ht="12.75">
      <c r="A173" s="16">
        <v>24</v>
      </c>
      <c r="B173">
        <v>940</v>
      </c>
      <c r="C173">
        <v>1000</v>
      </c>
    </row>
    <row r="174" spans="1:2" ht="12.75">
      <c r="A174" s="16">
        <v>24.5</v>
      </c>
      <c r="B174">
        <v>970</v>
      </c>
    </row>
    <row r="175" spans="1:2" ht="12.75">
      <c r="A175" s="16">
        <v>25</v>
      </c>
      <c r="B175">
        <v>1000</v>
      </c>
    </row>
    <row r="176" ht="12.75">
      <c r="A176" s="16"/>
    </row>
    <row r="177" spans="1:6" s="23" customFormat="1" ht="39" customHeight="1">
      <c r="A177" s="100" t="s">
        <v>194</v>
      </c>
      <c r="B177" s="100"/>
      <c r="C177" s="100"/>
      <c r="D177" s="100"/>
      <c r="E177" s="100"/>
      <c r="F177" s="100"/>
    </row>
    <row r="178" spans="1:6" s="23" customFormat="1" ht="12.75">
      <c r="A178" s="24"/>
      <c r="B178" s="24"/>
      <c r="C178" s="24"/>
      <c r="D178" s="24"/>
      <c r="E178" s="24"/>
      <c r="F178" s="24"/>
    </row>
    <row r="179" spans="1:6" ht="25.5">
      <c r="A179" s="22" t="s">
        <v>183</v>
      </c>
      <c r="B179" s="117" t="s">
        <v>182</v>
      </c>
      <c r="C179" s="117"/>
      <c r="D179" s="117"/>
      <c r="E179" s="117"/>
      <c r="F179" s="117"/>
    </row>
    <row r="180" spans="2:6" ht="12.75">
      <c r="B180" s="25">
        <v>10</v>
      </c>
      <c r="C180" s="25">
        <v>9</v>
      </c>
      <c r="D180" s="25">
        <v>8</v>
      </c>
      <c r="E180" s="25">
        <v>7</v>
      </c>
      <c r="F180" s="25">
        <v>6</v>
      </c>
    </row>
    <row r="181" spans="2:6" ht="12.75">
      <c r="B181" s="25" t="s">
        <v>192</v>
      </c>
      <c r="C181" s="25" t="s">
        <v>192</v>
      </c>
      <c r="D181" s="25" t="s">
        <v>192</v>
      </c>
      <c r="E181" s="25" t="s">
        <v>192</v>
      </c>
      <c r="F181" s="25" t="s">
        <v>192</v>
      </c>
    </row>
    <row r="182" spans="1:6" ht="12.75">
      <c r="A182" s="16">
        <v>12.5</v>
      </c>
      <c r="B182">
        <v>23.5</v>
      </c>
      <c r="C182">
        <v>32</v>
      </c>
      <c r="D182">
        <v>41.5</v>
      </c>
      <c r="E182">
        <v>50.5</v>
      </c>
      <c r="F182">
        <v>60</v>
      </c>
    </row>
    <row r="183" spans="1:6" ht="12.75">
      <c r="A183" s="16">
        <v>13</v>
      </c>
      <c r="B183">
        <v>26.5</v>
      </c>
      <c r="C183">
        <v>35</v>
      </c>
      <c r="D183">
        <v>44</v>
      </c>
      <c r="E183">
        <v>53</v>
      </c>
      <c r="F183">
        <v>62</v>
      </c>
    </row>
    <row r="184" spans="1:6" ht="12.75">
      <c r="A184" s="16">
        <v>13.5</v>
      </c>
      <c r="B184">
        <v>30</v>
      </c>
      <c r="C184">
        <v>38.5</v>
      </c>
      <c r="D184">
        <v>47</v>
      </c>
      <c r="E184">
        <v>55.5</v>
      </c>
      <c r="F184">
        <v>64</v>
      </c>
    </row>
    <row r="185" spans="1:6" ht="12.75">
      <c r="A185" s="16">
        <v>14</v>
      </c>
      <c r="B185">
        <v>33</v>
      </c>
      <c r="C185">
        <v>41</v>
      </c>
      <c r="D185">
        <v>49.5</v>
      </c>
      <c r="E185">
        <v>57.5</v>
      </c>
      <c r="F185">
        <v>65.5</v>
      </c>
    </row>
    <row r="186" spans="1:6" ht="12.75">
      <c r="A186" s="16">
        <v>14.5</v>
      </c>
      <c r="B186">
        <v>35.5</v>
      </c>
      <c r="C186">
        <v>43.5</v>
      </c>
      <c r="D186">
        <v>51.5</v>
      </c>
      <c r="E186">
        <v>59.5</v>
      </c>
      <c r="F186">
        <v>67.5</v>
      </c>
    </row>
    <row r="187" spans="1:6" ht="12.75">
      <c r="A187" s="16">
        <v>15</v>
      </c>
      <c r="B187">
        <v>38</v>
      </c>
      <c r="C187">
        <v>46</v>
      </c>
      <c r="D187">
        <v>53.5</v>
      </c>
      <c r="E187">
        <v>61</v>
      </c>
      <c r="F187">
        <v>69</v>
      </c>
    </row>
    <row r="188" spans="1:6" ht="12.75">
      <c r="A188" s="16">
        <v>15.5</v>
      </c>
      <c r="B188">
        <v>40.5</v>
      </c>
      <c r="C188">
        <v>48</v>
      </c>
      <c r="D188">
        <v>55.5</v>
      </c>
      <c r="E188">
        <v>63</v>
      </c>
      <c r="F188">
        <v>70.5</v>
      </c>
    </row>
    <row r="189" spans="1:6" ht="12.75">
      <c r="A189" s="16">
        <v>16</v>
      </c>
      <c r="B189">
        <v>43</v>
      </c>
      <c r="C189">
        <v>50.5</v>
      </c>
      <c r="D189">
        <v>57.5</v>
      </c>
      <c r="E189">
        <v>64.5</v>
      </c>
      <c r="F189">
        <v>72</v>
      </c>
    </row>
    <row r="190" spans="1:6" ht="12.75">
      <c r="A190" s="16">
        <v>16.5</v>
      </c>
      <c r="B190">
        <v>45</v>
      </c>
      <c r="C190">
        <v>52.5</v>
      </c>
      <c r="D190">
        <v>59</v>
      </c>
      <c r="E190">
        <v>66</v>
      </c>
      <c r="F190">
        <v>73</v>
      </c>
    </row>
    <row r="191" spans="1:6" ht="12.75">
      <c r="A191" s="16">
        <v>17</v>
      </c>
      <c r="B191">
        <v>47</v>
      </c>
      <c r="C191">
        <v>54</v>
      </c>
      <c r="D191">
        <v>61</v>
      </c>
      <c r="E191">
        <v>67.5</v>
      </c>
      <c r="F191">
        <v>74.5</v>
      </c>
    </row>
    <row r="192" spans="1:6" ht="12.75">
      <c r="A192" s="16">
        <v>17.5</v>
      </c>
      <c r="B192">
        <v>49.5</v>
      </c>
      <c r="C192">
        <v>56</v>
      </c>
      <c r="D192">
        <v>62.5</v>
      </c>
      <c r="E192">
        <v>69</v>
      </c>
      <c r="F192">
        <v>75.5</v>
      </c>
    </row>
    <row r="193" spans="1:6" ht="12.75">
      <c r="A193" s="16">
        <v>18</v>
      </c>
      <c r="B193">
        <v>51</v>
      </c>
      <c r="C193">
        <v>57.5</v>
      </c>
      <c r="D193">
        <v>64</v>
      </c>
      <c r="E193">
        <v>70</v>
      </c>
      <c r="F193">
        <v>76.5</v>
      </c>
    </row>
    <row r="194" spans="1:6" ht="12.75">
      <c r="A194" s="16">
        <v>18.5</v>
      </c>
      <c r="B194">
        <v>53</v>
      </c>
      <c r="C194">
        <v>59</v>
      </c>
      <c r="D194">
        <v>65</v>
      </c>
      <c r="E194">
        <v>71.5</v>
      </c>
      <c r="F194">
        <v>77.5</v>
      </c>
    </row>
    <row r="195" spans="1:6" ht="12.75">
      <c r="A195" s="16">
        <v>19</v>
      </c>
      <c r="B195">
        <v>54.5</v>
      </c>
      <c r="C195">
        <v>60.5</v>
      </c>
      <c r="D195">
        <v>66.5</v>
      </c>
      <c r="E195">
        <v>72.5</v>
      </c>
      <c r="F195">
        <v>78.5</v>
      </c>
    </row>
    <row r="196" spans="1:6" ht="12.75">
      <c r="A196" s="16">
        <v>19.5</v>
      </c>
      <c r="B196">
        <v>56</v>
      </c>
      <c r="C196">
        <v>62</v>
      </c>
      <c r="D196">
        <v>68</v>
      </c>
      <c r="E196">
        <v>73.5</v>
      </c>
      <c r="F196">
        <v>79.5</v>
      </c>
    </row>
    <row r="197" spans="1:6" ht="12.75">
      <c r="A197" s="16">
        <v>20</v>
      </c>
      <c r="B197">
        <v>57.5</v>
      </c>
      <c r="C197">
        <v>63</v>
      </c>
      <c r="D197">
        <v>69</v>
      </c>
      <c r="E197">
        <v>75</v>
      </c>
      <c r="F197">
        <v>80.5</v>
      </c>
    </row>
    <row r="198" spans="1:6" ht="12.75">
      <c r="A198" s="16">
        <v>20.5</v>
      </c>
      <c r="B198">
        <v>59</v>
      </c>
      <c r="C198">
        <v>64.5</v>
      </c>
      <c r="D198">
        <v>70</v>
      </c>
      <c r="E198">
        <v>76</v>
      </c>
      <c r="F198">
        <v>81.5</v>
      </c>
    </row>
    <row r="199" spans="1:6" ht="12.75">
      <c r="A199" s="16">
        <v>21</v>
      </c>
      <c r="B199">
        <v>60</v>
      </c>
      <c r="C199">
        <v>65.5</v>
      </c>
      <c r="D199">
        <v>71</v>
      </c>
      <c r="E199">
        <v>76.5</v>
      </c>
      <c r="F199">
        <v>82</v>
      </c>
    </row>
    <row r="200" spans="1:5" ht="12.75">
      <c r="A200" s="16">
        <v>21.5</v>
      </c>
      <c r="B200">
        <v>61.5</v>
      </c>
      <c r="C200">
        <v>67</v>
      </c>
      <c r="D200">
        <v>72</v>
      </c>
      <c r="E200">
        <v>77.5</v>
      </c>
    </row>
    <row r="201" spans="1:5" ht="12.75">
      <c r="A201" s="16">
        <v>22</v>
      </c>
      <c r="B201">
        <v>63</v>
      </c>
      <c r="C201">
        <v>68</v>
      </c>
      <c r="D201">
        <v>73.5</v>
      </c>
      <c r="E201">
        <v>78.5</v>
      </c>
    </row>
    <row r="202" spans="1:4" ht="12.75">
      <c r="A202" s="16">
        <v>22.5</v>
      </c>
      <c r="B202">
        <v>64</v>
      </c>
      <c r="C202">
        <v>69</v>
      </c>
      <c r="D202">
        <v>74</v>
      </c>
    </row>
    <row r="203" spans="1:4" ht="12.75">
      <c r="A203" s="16">
        <v>23</v>
      </c>
      <c r="B203">
        <v>65</v>
      </c>
      <c r="C203">
        <v>70</v>
      </c>
      <c r="D203">
        <v>75</v>
      </c>
    </row>
    <row r="204" spans="1:3" ht="12.75">
      <c r="A204" s="16">
        <v>23.5</v>
      </c>
      <c r="B204">
        <v>66</v>
      </c>
      <c r="C204">
        <v>71</v>
      </c>
    </row>
    <row r="205" spans="1:3" ht="12.75">
      <c r="A205" s="16">
        <v>24</v>
      </c>
      <c r="B205">
        <v>67</v>
      </c>
      <c r="C205">
        <v>72</v>
      </c>
    </row>
    <row r="206" spans="1:2" ht="12.75">
      <c r="A206" s="16">
        <v>24.5</v>
      </c>
      <c r="B206">
        <v>68</v>
      </c>
    </row>
    <row r="207" spans="1:2" ht="12.75">
      <c r="A207" s="16">
        <v>25</v>
      </c>
      <c r="B207">
        <v>69</v>
      </c>
    </row>
    <row r="212" spans="1:6" ht="12.75">
      <c r="A212" s="92" t="s">
        <v>189</v>
      </c>
      <c r="B212" s="92"/>
      <c r="C212" s="92"/>
      <c r="D212" s="92"/>
      <c r="E212" s="92"/>
      <c r="F212" s="92"/>
    </row>
    <row r="213" spans="1:6" ht="12.75">
      <c r="A213" t="s">
        <v>209</v>
      </c>
      <c r="B213" s="26"/>
      <c r="C213" s="26"/>
      <c r="D213" s="26"/>
      <c r="E213" s="26"/>
      <c r="F213" s="26"/>
    </row>
    <row r="214" spans="1:6" ht="12.75">
      <c r="A214" t="s">
        <v>210</v>
      </c>
      <c r="B214" s="26"/>
      <c r="C214" s="26"/>
      <c r="D214" s="26"/>
      <c r="E214" s="26"/>
      <c r="F214" s="26"/>
    </row>
    <row r="216" spans="1:6" ht="25.5" customHeight="1">
      <c r="A216" s="25" t="s">
        <v>183</v>
      </c>
      <c r="B216" s="93" t="s">
        <v>190</v>
      </c>
      <c r="C216" s="93"/>
      <c r="D216" s="93"/>
      <c r="E216" s="93"/>
      <c r="F216" s="93"/>
    </row>
    <row r="217" spans="1:6" ht="12.75">
      <c r="A217" t="s">
        <v>191</v>
      </c>
      <c r="B217" s="27">
        <v>0.25</v>
      </c>
      <c r="C217" s="27">
        <v>0.3</v>
      </c>
      <c r="D217" s="27">
        <v>0.35</v>
      </c>
      <c r="E217" s="27">
        <v>0.4</v>
      </c>
      <c r="F217" s="27">
        <v>0.45</v>
      </c>
    </row>
    <row r="218" spans="1:6" ht="12.75">
      <c r="A218" s="26">
        <v>12.5</v>
      </c>
      <c r="B218" s="28">
        <v>9</v>
      </c>
      <c r="C218" s="28">
        <v>7.9</v>
      </c>
      <c r="D218" s="28">
        <v>6.6</v>
      </c>
      <c r="E218" s="28">
        <v>5</v>
      </c>
      <c r="F218" s="28">
        <v>3.2</v>
      </c>
    </row>
    <row r="219" spans="1:6" ht="12.75">
      <c r="A219" s="28">
        <v>13</v>
      </c>
      <c r="B219" s="28">
        <v>9.4</v>
      </c>
      <c r="C219" s="28">
        <v>8.2</v>
      </c>
      <c r="D219" s="28">
        <v>6.8</v>
      </c>
      <c r="E219" s="28">
        <v>5.2</v>
      </c>
      <c r="F219" s="28">
        <v>3.3</v>
      </c>
    </row>
    <row r="220" spans="1:6" ht="12.75">
      <c r="A220" s="28">
        <v>13.5</v>
      </c>
      <c r="B220" s="28">
        <v>9.6</v>
      </c>
      <c r="C220" s="28">
        <v>8.5</v>
      </c>
      <c r="D220" s="28">
        <v>7</v>
      </c>
      <c r="E220" s="28">
        <v>5.3</v>
      </c>
      <c r="F220" s="28">
        <v>3.4</v>
      </c>
    </row>
    <row r="221" spans="1:6" ht="12.75">
      <c r="A221" s="28">
        <v>14</v>
      </c>
      <c r="B221" s="28">
        <v>10</v>
      </c>
      <c r="C221" s="28">
        <v>8.7</v>
      </c>
      <c r="D221" s="28">
        <v>7.3</v>
      </c>
      <c r="E221" s="28">
        <v>5.5</v>
      </c>
      <c r="F221" s="28">
        <v>3.5</v>
      </c>
    </row>
    <row r="222" spans="1:6" ht="12.75">
      <c r="A222" s="28">
        <v>14.5</v>
      </c>
      <c r="B222" s="28">
        <v>10.4</v>
      </c>
      <c r="C222" s="28">
        <v>9</v>
      </c>
      <c r="D222" s="28">
        <v>7.5</v>
      </c>
      <c r="E222" s="28">
        <v>5.7</v>
      </c>
      <c r="F222" s="28">
        <v>3.6</v>
      </c>
    </row>
    <row r="223" spans="1:6" ht="12.75">
      <c r="A223" s="28">
        <v>15</v>
      </c>
      <c r="B223" s="28">
        <v>10.7</v>
      </c>
      <c r="C223" s="28">
        <v>9.3</v>
      </c>
      <c r="D223" s="28">
        <v>7.7</v>
      </c>
      <c r="E223" s="28">
        <v>5.9</v>
      </c>
      <c r="F223" s="28">
        <v>3.7</v>
      </c>
    </row>
    <row r="224" spans="1:6" ht="12.75">
      <c r="A224" s="28">
        <v>15.5</v>
      </c>
      <c r="B224" s="28">
        <v>11</v>
      </c>
      <c r="C224" s="28">
        <v>9.6</v>
      </c>
      <c r="D224" s="28">
        <v>8</v>
      </c>
      <c r="E224" s="28">
        <v>6</v>
      </c>
      <c r="F224" s="28">
        <v>3.8</v>
      </c>
    </row>
    <row r="225" spans="1:6" ht="12.75">
      <c r="A225" s="28">
        <v>16</v>
      </c>
      <c r="B225" s="28">
        <v>11.4</v>
      </c>
      <c r="C225" s="28">
        <v>9.9</v>
      </c>
      <c r="D225" s="28">
        <v>8.2</v>
      </c>
      <c r="E225" s="28">
        <v>6.2</v>
      </c>
      <c r="F225" s="28">
        <v>3.9</v>
      </c>
    </row>
    <row r="226" spans="1:6" ht="12.75">
      <c r="A226" s="28">
        <v>16.5</v>
      </c>
      <c r="B226" s="28">
        <v>11.7</v>
      </c>
      <c r="C226" s="28">
        <v>10.1571428571429</v>
      </c>
      <c r="D226" s="28">
        <v>8.4</v>
      </c>
      <c r="E226" s="28">
        <v>6.4</v>
      </c>
      <c r="F226" s="28">
        <v>4</v>
      </c>
    </row>
    <row r="227" spans="1:6" ht="12.75">
      <c r="A227" s="28">
        <v>17</v>
      </c>
      <c r="B227" s="28">
        <v>12</v>
      </c>
      <c r="C227" s="28">
        <v>10.4392857142857</v>
      </c>
      <c r="D227" s="28">
        <v>8.7</v>
      </c>
      <c r="E227" s="28">
        <v>6.5</v>
      </c>
      <c r="F227" s="28">
        <v>4.1</v>
      </c>
    </row>
    <row r="228" spans="1:6" ht="12.75">
      <c r="A228" s="28">
        <v>17.5</v>
      </c>
      <c r="B228" s="28">
        <v>12.4</v>
      </c>
      <c r="C228" s="28">
        <v>10.7214285714286</v>
      </c>
      <c r="D228" s="28">
        <v>8.9</v>
      </c>
      <c r="E228" s="28">
        <v>6.7</v>
      </c>
      <c r="F228" s="28">
        <v>4.2</v>
      </c>
    </row>
    <row r="229" spans="1:6" ht="12.75">
      <c r="A229" s="28">
        <v>18</v>
      </c>
      <c r="B229" s="28">
        <v>12.7</v>
      </c>
      <c r="C229" s="28">
        <v>11.0035714285714</v>
      </c>
      <c r="D229" s="28">
        <v>9.1</v>
      </c>
      <c r="E229" s="28">
        <v>6.9</v>
      </c>
      <c r="F229" s="28">
        <v>4.3</v>
      </c>
    </row>
    <row r="230" spans="1:6" ht="12.75">
      <c r="A230" s="28">
        <v>18.5</v>
      </c>
      <c r="B230" s="28">
        <v>13</v>
      </c>
      <c r="C230" s="28">
        <v>11.2857142857143</v>
      </c>
      <c r="D230" s="28">
        <v>9.4</v>
      </c>
      <c r="E230" s="28">
        <v>7</v>
      </c>
      <c r="F230" s="28">
        <v>4.4</v>
      </c>
    </row>
    <row r="231" spans="1:6" ht="12.75">
      <c r="A231" s="28">
        <v>19</v>
      </c>
      <c r="B231" s="28">
        <v>13.4</v>
      </c>
      <c r="C231" s="28">
        <v>11.5678571428571</v>
      </c>
      <c r="D231" s="28">
        <v>9.6</v>
      </c>
      <c r="E231" s="28">
        <v>7.2</v>
      </c>
      <c r="F231" s="28">
        <v>4.5</v>
      </c>
    </row>
    <row r="232" spans="1:6" ht="12.75">
      <c r="A232" s="28">
        <v>19.5</v>
      </c>
      <c r="B232" s="28">
        <v>13.7</v>
      </c>
      <c r="C232" s="28">
        <v>11.85</v>
      </c>
      <c r="D232" s="28">
        <v>9.8</v>
      </c>
      <c r="E232" s="28">
        <v>7.4</v>
      </c>
      <c r="F232" s="28">
        <v>4.6</v>
      </c>
    </row>
    <row r="233" spans="1:6" ht="12.75">
      <c r="A233" s="28">
        <v>20</v>
      </c>
      <c r="B233" s="28">
        <v>14</v>
      </c>
      <c r="C233" s="28">
        <v>12.1321428571429</v>
      </c>
      <c r="D233" s="28">
        <v>10</v>
      </c>
      <c r="E233" s="28">
        <v>7.5</v>
      </c>
      <c r="F233" s="28">
        <v>4.69999999999999</v>
      </c>
    </row>
    <row r="234" spans="1:6" ht="12.75">
      <c r="A234" s="28">
        <v>20.5</v>
      </c>
      <c r="B234" s="28">
        <v>14.4</v>
      </c>
      <c r="C234" s="28">
        <v>12.4142857142857</v>
      </c>
      <c r="D234" s="28">
        <v>10.3</v>
      </c>
      <c r="E234" s="28">
        <v>7.7</v>
      </c>
      <c r="F234" s="28">
        <v>4.79999999999999</v>
      </c>
    </row>
    <row r="235" spans="1:6" ht="12.75">
      <c r="A235" s="28">
        <v>21</v>
      </c>
      <c r="B235" s="28">
        <v>14.72</v>
      </c>
      <c r="C235" s="28">
        <v>12.6964285714286</v>
      </c>
      <c r="D235" s="28">
        <v>10.5</v>
      </c>
      <c r="E235" s="28">
        <v>7.9</v>
      </c>
      <c r="F235" s="28">
        <v>4.89999999999999</v>
      </c>
    </row>
    <row r="236" spans="1:6" ht="12.75">
      <c r="A236" s="28">
        <v>21.5</v>
      </c>
      <c r="B236" s="28">
        <v>15.06</v>
      </c>
      <c r="C236" s="28">
        <v>12.9785714285714</v>
      </c>
      <c r="D236" s="28">
        <v>10.7</v>
      </c>
      <c r="E236" s="28">
        <v>8</v>
      </c>
      <c r="F236" s="28">
        <v>4.99999999999999</v>
      </c>
    </row>
    <row r="237" spans="1:6" ht="12.75">
      <c r="A237" s="28">
        <v>22</v>
      </c>
      <c r="B237" s="28">
        <v>15.4</v>
      </c>
      <c r="C237" s="28">
        <v>13.2607142857143</v>
      </c>
      <c r="D237" s="28">
        <v>11</v>
      </c>
      <c r="E237" s="28">
        <v>8.2</v>
      </c>
      <c r="F237" s="28">
        <v>5.09999999999999</v>
      </c>
    </row>
    <row r="238" spans="1:6" ht="12.75">
      <c r="A238" s="28">
        <v>22.5</v>
      </c>
      <c r="B238" s="28">
        <v>15.74</v>
      </c>
      <c r="C238" s="28">
        <v>13.5428571428572</v>
      </c>
      <c r="D238" s="28">
        <v>11.2</v>
      </c>
      <c r="E238" s="28">
        <v>8.4</v>
      </c>
      <c r="F238" s="28">
        <v>5.19999999999999</v>
      </c>
    </row>
    <row r="239" spans="1:6" ht="12.75">
      <c r="A239" s="28">
        <v>23</v>
      </c>
      <c r="B239" s="28">
        <v>16.08</v>
      </c>
      <c r="C239" s="28">
        <v>13.825</v>
      </c>
      <c r="D239" s="28">
        <v>11.6</v>
      </c>
      <c r="E239" s="28">
        <v>8.5</v>
      </c>
      <c r="F239" s="28">
        <v>5.29999999999999</v>
      </c>
    </row>
    <row r="240" spans="1:6" ht="12.75">
      <c r="A240" s="28">
        <v>23.5</v>
      </c>
      <c r="B240" s="28">
        <v>16.42</v>
      </c>
      <c r="C240" s="28">
        <v>14.1071428571429</v>
      </c>
      <c r="D240" s="28">
        <v>11.7</v>
      </c>
      <c r="E240" s="28">
        <v>8.7</v>
      </c>
      <c r="F240" s="28">
        <v>5.39999999999999</v>
      </c>
    </row>
    <row r="241" spans="1:6" ht="12.75">
      <c r="A241" s="28">
        <v>24</v>
      </c>
      <c r="B241" s="28">
        <v>16.76</v>
      </c>
      <c r="C241" s="28">
        <v>14.3892857142857</v>
      </c>
      <c r="D241" s="28">
        <v>11.9</v>
      </c>
      <c r="E241" s="28">
        <v>8.8</v>
      </c>
      <c r="F241" s="28">
        <v>5.49999999999999</v>
      </c>
    </row>
    <row r="242" spans="1:6" ht="12.75">
      <c r="A242" s="28">
        <v>24.5</v>
      </c>
      <c r="B242" s="28">
        <v>17.1</v>
      </c>
      <c r="C242" s="28">
        <v>14.6714285714286</v>
      </c>
      <c r="D242" s="28">
        <v>12.1</v>
      </c>
      <c r="E242" s="28">
        <v>9</v>
      </c>
      <c r="F242" s="28">
        <v>5.59999999999999</v>
      </c>
    </row>
    <row r="243" spans="1:6" ht="12.75">
      <c r="A243" s="28">
        <v>25</v>
      </c>
      <c r="B243" s="28">
        <v>17.44</v>
      </c>
      <c r="C243" s="28">
        <v>14.9535714285714</v>
      </c>
      <c r="D243" s="28">
        <v>12.3</v>
      </c>
      <c r="E243" s="28">
        <v>9.1</v>
      </c>
      <c r="F243" s="28">
        <v>5.69999999999999</v>
      </c>
    </row>
    <row r="247" ht="12.75">
      <c r="A247" s="1" t="s">
        <v>199</v>
      </c>
    </row>
    <row r="248" spans="1:2" ht="12.75">
      <c r="A248" s="1"/>
      <c r="B248" t="s">
        <v>200</v>
      </c>
    </row>
    <row r="249" spans="2:7" ht="12.75">
      <c r="B249" t="s">
        <v>151</v>
      </c>
      <c r="C249" t="s">
        <v>201</v>
      </c>
      <c r="D249" t="s">
        <v>202</v>
      </c>
      <c r="E249" t="s">
        <v>203</v>
      </c>
      <c r="F249" t="s">
        <v>204</v>
      </c>
      <c r="G249" t="s">
        <v>205</v>
      </c>
    </row>
    <row r="250" spans="1:7" ht="12.75">
      <c r="A250">
        <v>1</v>
      </c>
      <c r="B250">
        <f aca="true" t="shared" si="0" ref="B250:B281">A250*0.893</f>
        <v>0.893</v>
      </c>
      <c r="C250">
        <f aca="true" t="shared" si="1" ref="C250:C281">A250*0.853</f>
        <v>0.853</v>
      </c>
      <c r="D250">
        <v>1</v>
      </c>
      <c r="E250">
        <f aca="true" t="shared" si="2" ref="E250:E281">(A250*1.2)/0.5</f>
        <v>2.4</v>
      </c>
      <c r="F250">
        <f aca="true" t="shared" si="3" ref="F250:F281">(A250*1.2)/0.8</f>
        <v>1.4999999999999998</v>
      </c>
      <c r="G250" s="16">
        <f aca="true" t="shared" si="4" ref="G250:G281">(A250*1.2)/0.9</f>
        <v>1.3333333333333333</v>
      </c>
    </row>
    <row r="251" spans="1:7" ht="12.75">
      <c r="A251">
        <v>2</v>
      </c>
      <c r="B251">
        <f t="shared" si="0"/>
        <v>1.786</v>
      </c>
      <c r="C251">
        <f t="shared" si="1"/>
        <v>1.706</v>
      </c>
      <c r="D251">
        <v>2</v>
      </c>
      <c r="E251">
        <f t="shared" si="2"/>
        <v>4.8</v>
      </c>
      <c r="F251">
        <f t="shared" si="3"/>
        <v>2.9999999999999996</v>
      </c>
      <c r="G251" s="16">
        <f t="shared" si="4"/>
        <v>2.6666666666666665</v>
      </c>
    </row>
    <row r="252" spans="1:7" ht="12.75">
      <c r="A252">
        <v>3</v>
      </c>
      <c r="B252">
        <f t="shared" si="0"/>
        <v>2.6790000000000003</v>
      </c>
      <c r="C252">
        <f t="shared" si="1"/>
        <v>2.559</v>
      </c>
      <c r="D252">
        <v>3</v>
      </c>
      <c r="E252">
        <f t="shared" si="2"/>
        <v>7.199999999999999</v>
      </c>
      <c r="F252">
        <f t="shared" si="3"/>
        <v>4.499999999999999</v>
      </c>
      <c r="G252" s="16">
        <f t="shared" si="4"/>
        <v>3.9999999999999996</v>
      </c>
    </row>
    <row r="253" spans="1:7" ht="12.75">
      <c r="A253">
        <v>4</v>
      </c>
      <c r="B253">
        <f t="shared" si="0"/>
        <v>3.572</v>
      </c>
      <c r="C253">
        <f t="shared" si="1"/>
        <v>3.412</v>
      </c>
      <c r="D253">
        <v>4</v>
      </c>
      <c r="E253">
        <f t="shared" si="2"/>
        <v>9.6</v>
      </c>
      <c r="F253">
        <f t="shared" si="3"/>
        <v>5.999999999999999</v>
      </c>
      <c r="G253" s="16">
        <f t="shared" si="4"/>
        <v>5.333333333333333</v>
      </c>
    </row>
    <row r="254" spans="1:7" ht="12.75">
      <c r="A254">
        <v>5</v>
      </c>
      <c r="B254">
        <f t="shared" si="0"/>
        <v>4.465</v>
      </c>
      <c r="C254">
        <f t="shared" si="1"/>
        <v>4.265</v>
      </c>
      <c r="D254">
        <v>5</v>
      </c>
      <c r="E254">
        <f t="shared" si="2"/>
        <v>12</v>
      </c>
      <c r="F254">
        <f t="shared" si="3"/>
        <v>7.5</v>
      </c>
      <c r="G254" s="16">
        <f t="shared" si="4"/>
        <v>6.666666666666666</v>
      </c>
    </row>
    <row r="255" spans="1:7" ht="12.75">
      <c r="A255">
        <v>6</v>
      </c>
      <c r="B255">
        <f t="shared" si="0"/>
        <v>5.3580000000000005</v>
      </c>
      <c r="C255">
        <f t="shared" si="1"/>
        <v>5.118</v>
      </c>
      <c r="D255">
        <v>6</v>
      </c>
      <c r="E255">
        <f t="shared" si="2"/>
        <v>14.399999999999999</v>
      </c>
      <c r="F255">
        <f t="shared" si="3"/>
        <v>8.999999999999998</v>
      </c>
      <c r="G255" s="16">
        <f t="shared" si="4"/>
        <v>7.999999999999999</v>
      </c>
    </row>
    <row r="256" spans="1:7" ht="12.75">
      <c r="A256">
        <v>7</v>
      </c>
      <c r="B256">
        <f t="shared" si="0"/>
        <v>6.251</v>
      </c>
      <c r="C256">
        <f t="shared" si="1"/>
        <v>5.971</v>
      </c>
      <c r="D256">
        <v>7</v>
      </c>
      <c r="E256">
        <f t="shared" si="2"/>
        <v>16.8</v>
      </c>
      <c r="F256">
        <f t="shared" si="3"/>
        <v>10.5</v>
      </c>
      <c r="G256" s="16">
        <f t="shared" si="4"/>
        <v>9.333333333333334</v>
      </c>
    </row>
    <row r="257" spans="1:7" ht="12.75">
      <c r="A257">
        <v>8</v>
      </c>
      <c r="B257">
        <f t="shared" si="0"/>
        <v>7.144</v>
      </c>
      <c r="C257">
        <f t="shared" si="1"/>
        <v>6.824</v>
      </c>
      <c r="D257">
        <v>8</v>
      </c>
      <c r="E257">
        <f t="shared" si="2"/>
        <v>19.2</v>
      </c>
      <c r="F257">
        <f t="shared" si="3"/>
        <v>11.999999999999998</v>
      </c>
      <c r="G257" s="16">
        <f t="shared" si="4"/>
        <v>10.666666666666666</v>
      </c>
    </row>
    <row r="258" spans="1:7" ht="12.75">
      <c r="A258">
        <v>9</v>
      </c>
      <c r="B258">
        <f t="shared" si="0"/>
        <v>8.037</v>
      </c>
      <c r="C258">
        <f t="shared" si="1"/>
        <v>7.677</v>
      </c>
      <c r="D258">
        <v>9</v>
      </c>
      <c r="E258">
        <f t="shared" si="2"/>
        <v>21.599999999999998</v>
      </c>
      <c r="F258">
        <f t="shared" si="3"/>
        <v>13.499999999999998</v>
      </c>
      <c r="G258" s="16">
        <f t="shared" si="4"/>
        <v>11.999999999999998</v>
      </c>
    </row>
    <row r="259" spans="1:7" ht="12.75">
      <c r="A259">
        <v>10</v>
      </c>
      <c r="B259">
        <f t="shared" si="0"/>
        <v>8.93</v>
      </c>
      <c r="C259">
        <f t="shared" si="1"/>
        <v>8.53</v>
      </c>
      <c r="D259">
        <v>10</v>
      </c>
      <c r="E259">
        <f t="shared" si="2"/>
        <v>24</v>
      </c>
      <c r="F259">
        <f t="shared" si="3"/>
        <v>15</v>
      </c>
      <c r="G259" s="16">
        <f t="shared" si="4"/>
        <v>13.333333333333332</v>
      </c>
    </row>
    <row r="260" spans="1:7" ht="12.75">
      <c r="A260">
        <v>11</v>
      </c>
      <c r="B260">
        <f t="shared" si="0"/>
        <v>9.823</v>
      </c>
      <c r="C260">
        <f t="shared" si="1"/>
        <v>9.383</v>
      </c>
      <c r="D260">
        <v>11</v>
      </c>
      <c r="E260">
        <f t="shared" si="2"/>
        <v>26.4</v>
      </c>
      <c r="F260">
        <f t="shared" si="3"/>
        <v>16.499999999999996</v>
      </c>
      <c r="G260" s="16">
        <f t="shared" si="4"/>
        <v>14.666666666666666</v>
      </c>
    </row>
    <row r="261" spans="1:7" ht="12.75">
      <c r="A261">
        <v>12</v>
      </c>
      <c r="B261">
        <f t="shared" si="0"/>
        <v>10.716000000000001</v>
      </c>
      <c r="C261">
        <f t="shared" si="1"/>
        <v>10.236</v>
      </c>
      <c r="D261">
        <v>12</v>
      </c>
      <c r="E261">
        <f t="shared" si="2"/>
        <v>28.799999999999997</v>
      </c>
      <c r="F261">
        <f t="shared" si="3"/>
        <v>17.999999999999996</v>
      </c>
      <c r="G261" s="16">
        <f t="shared" si="4"/>
        <v>15.999999999999998</v>
      </c>
    </row>
    <row r="262" spans="1:7" ht="12.75">
      <c r="A262">
        <v>13</v>
      </c>
      <c r="B262">
        <f t="shared" si="0"/>
        <v>11.609</v>
      </c>
      <c r="C262">
        <f t="shared" si="1"/>
        <v>11.089</v>
      </c>
      <c r="D262">
        <v>13</v>
      </c>
      <c r="E262">
        <f t="shared" si="2"/>
        <v>31.2</v>
      </c>
      <c r="F262">
        <f t="shared" si="3"/>
        <v>19.5</v>
      </c>
      <c r="G262" s="16">
        <f t="shared" si="4"/>
        <v>17.333333333333332</v>
      </c>
    </row>
    <row r="263" spans="1:7" ht="12.75">
      <c r="A263">
        <v>14</v>
      </c>
      <c r="B263">
        <f t="shared" si="0"/>
        <v>12.502</v>
      </c>
      <c r="C263">
        <f t="shared" si="1"/>
        <v>11.942</v>
      </c>
      <c r="D263">
        <v>14</v>
      </c>
      <c r="E263">
        <f t="shared" si="2"/>
        <v>33.6</v>
      </c>
      <c r="F263">
        <f t="shared" si="3"/>
        <v>21</v>
      </c>
      <c r="G263" s="16">
        <f t="shared" si="4"/>
        <v>18.666666666666668</v>
      </c>
    </row>
    <row r="264" spans="1:7" ht="12.75">
      <c r="A264">
        <v>15</v>
      </c>
      <c r="B264">
        <f t="shared" si="0"/>
        <v>13.395</v>
      </c>
      <c r="C264">
        <f t="shared" si="1"/>
        <v>12.795</v>
      </c>
      <c r="D264">
        <v>15</v>
      </c>
      <c r="E264">
        <f t="shared" si="2"/>
        <v>36</v>
      </c>
      <c r="F264">
        <f t="shared" si="3"/>
        <v>22.5</v>
      </c>
      <c r="G264" s="16">
        <f t="shared" si="4"/>
        <v>20</v>
      </c>
    </row>
    <row r="265" spans="1:7" ht="12.75">
      <c r="A265">
        <v>16</v>
      </c>
      <c r="B265">
        <f t="shared" si="0"/>
        <v>14.288</v>
      </c>
      <c r="C265">
        <f t="shared" si="1"/>
        <v>13.648</v>
      </c>
      <c r="D265">
        <v>16</v>
      </c>
      <c r="E265">
        <f t="shared" si="2"/>
        <v>38.4</v>
      </c>
      <c r="F265">
        <f t="shared" si="3"/>
        <v>23.999999999999996</v>
      </c>
      <c r="G265" s="16">
        <f t="shared" si="4"/>
        <v>21.333333333333332</v>
      </c>
    </row>
    <row r="266" spans="1:7" ht="12.75">
      <c r="A266">
        <v>17</v>
      </c>
      <c r="B266">
        <f t="shared" si="0"/>
        <v>15.181000000000001</v>
      </c>
      <c r="C266">
        <f t="shared" si="1"/>
        <v>14.501</v>
      </c>
      <c r="D266">
        <v>17</v>
      </c>
      <c r="E266">
        <f t="shared" si="2"/>
        <v>40.8</v>
      </c>
      <c r="F266">
        <f t="shared" si="3"/>
        <v>25.499999999999996</v>
      </c>
      <c r="G266" s="16">
        <f t="shared" si="4"/>
        <v>22.666666666666664</v>
      </c>
    </row>
    <row r="267" spans="1:7" ht="12.75">
      <c r="A267">
        <v>18</v>
      </c>
      <c r="B267">
        <f t="shared" si="0"/>
        <v>16.074</v>
      </c>
      <c r="C267">
        <f t="shared" si="1"/>
        <v>15.354</v>
      </c>
      <c r="D267">
        <v>18</v>
      </c>
      <c r="E267">
        <f t="shared" si="2"/>
        <v>43.199999999999996</v>
      </c>
      <c r="F267">
        <f t="shared" si="3"/>
        <v>26.999999999999996</v>
      </c>
      <c r="G267" s="16">
        <f t="shared" si="4"/>
        <v>23.999999999999996</v>
      </c>
    </row>
    <row r="268" spans="1:7" ht="12.75">
      <c r="A268">
        <v>19</v>
      </c>
      <c r="B268">
        <f t="shared" si="0"/>
        <v>16.967</v>
      </c>
      <c r="C268">
        <f t="shared" si="1"/>
        <v>16.207</v>
      </c>
      <c r="D268">
        <v>19</v>
      </c>
      <c r="E268">
        <f t="shared" si="2"/>
        <v>45.6</v>
      </c>
      <c r="F268">
        <f t="shared" si="3"/>
        <v>28.5</v>
      </c>
      <c r="G268" s="16">
        <f t="shared" si="4"/>
        <v>25.333333333333332</v>
      </c>
    </row>
    <row r="269" spans="1:7" ht="12.75">
      <c r="A269">
        <v>20</v>
      </c>
      <c r="B269">
        <f t="shared" si="0"/>
        <v>17.86</v>
      </c>
      <c r="C269">
        <f t="shared" si="1"/>
        <v>17.06</v>
      </c>
      <c r="D269">
        <v>20</v>
      </c>
      <c r="E269">
        <f t="shared" si="2"/>
        <v>48</v>
      </c>
      <c r="F269">
        <f t="shared" si="3"/>
        <v>30</v>
      </c>
      <c r="G269" s="16">
        <f t="shared" si="4"/>
        <v>26.666666666666664</v>
      </c>
    </row>
    <row r="270" spans="1:7" ht="12.75">
      <c r="A270">
        <v>21</v>
      </c>
      <c r="B270">
        <f t="shared" si="0"/>
        <v>18.753</v>
      </c>
      <c r="C270">
        <f t="shared" si="1"/>
        <v>17.913</v>
      </c>
      <c r="D270">
        <v>21</v>
      </c>
      <c r="E270">
        <f t="shared" si="2"/>
        <v>50.4</v>
      </c>
      <c r="F270">
        <f t="shared" si="3"/>
        <v>31.499999999999996</v>
      </c>
      <c r="G270" s="16">
        <f t="shared" si="4"/>
        <v>28</v>
      </c>
    </row>
    <row r="271" spans="1:7" ht="12.75">
      <c r="A271">
        <v>22</v>
      </c>
      <c r="B271">
        <f t="shared" si="0"/>
        <v>19.646</v>
      </c>
      <c r="C271">
        <f t="shared" si="1"/>
        <v>18.766</v>
      </c>
      <c r="D271">
        <v>22</v>
      </c>
      <c r="E271">
        <f t="shared" si="2"/>
        <v>52.8</v>
      </c>
      <c r="F271">
        <f t="shared" si="3"/>
        <v>32.99999999999999</v>
      </c>
      <c r="G271" s="16">
        <f t="shared" si="4"/>
        <v>29.333333333333332</v>
      </c>
    </row>
    <row r="272" spans="1:7" ht="12.75">
      <c r="A272">
        <v>23</v>
      </c>
      <c r="B272">
        <f t="shared" si="0"/>
        <v>20.539</v>
      </c>
      <c r="C272">
        <f t="shared" si="1"/>
        <v>19.619</v>
      </c>
      <c r="D272">
        <v>23</v>
      </c>
      <c r="E272">
        <f t="shared" si="2"/>
        <v>55.199999999999996</v>
      </c>
      <c r="F272">
        <f t="shared" si="3"/>
        <v>34.49999999999999</v>
      </c>
      <c r="G272" s="16">
        <f t="shared" si="4"/>
        <v>30.666666666666664</v>
      </c>
    </row>
    <row r="273" spans="1:7" ht="12.75">
      <c r="A273">
        <v>24</v>
      </c>
      <c r="B273">
        <f t="shared" si="0"/>
        <v>21.432000000000002</v>
      </c>
      <c r="C273">
        <f t="shared" si="1"/>
        <v>20.472</v>
      </c>
      <c r="D273">
        <v>24</v>
      </c>
      <c r="E273">
        <f t="shared" si="2"/>
        <v>57.599999999999994</v>
      </c>
      <c r="F273">
        <f t="shared" si="3"/>
        <v>35.99999999999999</v>
      </c>
      <c r="G273" s="16">
        <f t="shared" si="4"/>
        <v>31.999999999999996</v>
      </c>
    </row>
    <row r="274" spans="1:7" ht="12.75">
      <c r="A274">
        <v>25</v>
      </c>
      <c r="B274">
        <f t="shared" si="0"/>
        <v>22.325</v>
      </c>
      <c r="C274">
        <f t="shared" si="1"/>
        <v>21.325</v>
      </c>
      <c r="D274">
        <v>25</v>
      </c>
      <c r="E274">
        <f t="shared" si="2"/>
        <v>60</v>
      </c>
      <c r="F274">
        <f t="shared" si="3"/>
        <v>37.5</v>
      </c>
      <c r="G274" s="16">
        <f t="shared" si="4"/>
        <v>33.333333333333336</v>
      </c>
    </row>
    <row r="275" spans="1:7" ht="12.75">
      <c r="A275">
        <v>26</v>
      </c>
      <c r="B275">
        <f t="shared" si="0"/>
        <v>23.218</v>
      </c>
      <c r="C275">
        <f t="shared" si="1"/>
        <v>22.178</v>
      </c>
      <c r="D275">
        <v>26</v>
      </c>
      <c r="E275">
        <f t="shared" si="2"/>
        <v>62.4</v>
      </c>
      <c r="F275">
        <f t="shared" si="3"/>
        <v>39</v>
      </c>
      <c r="G275" s="16">
        <f t="shared" si="4"/>
        <v>34.666666666666664</v>
      </c>
    </row>
    <row r="276" spans="1:7" ht="12.75">
      <c r="A276">
        <v>27</v>
      </c>
      <c r="B276">
        <f t="shared" si="0"/>
        <v>24.111</v>
      </c>
      <c r="C276">
        <f t="shared" si="1"/>
        <v>23.031</v>
      </c>
      <c r="D276">
        <v>27</v>
      </c>
      <c r="E276">
        <f t="shared" si="2"/>
        <v>64.8</v>
      </c>
      <c r="F276">
        <f t="shared" si="3"/>
        <v>40.49999999999999</v>
      </c>
      <c r="G276" s="16">
        <f t="shared" si="4"/>
        <v>36</v>
      </c>
    </row>
    <row r="277" spans="1:7" ht="12.75">
      <c r="A277">
        <v>28</v>
      </c>
      <c r="B277">
        <f t="shared" si="0"/>
        <v>25.004</v>
      </c>
      <c r="C277">
        <f t="shared" si="1"/>
        <v>23.884</v>
      </c>
      <c r="D277">
        <v>28</v>
      </c>
      <c r="E277">
        <f t="shared" si="2"/>
        <v>67.2</v>
      </c>
      <c r="F277">
        <f t="shared" si="3"/>
        <v>42</v>
      </c>
      <c r="G277" s="16">
        <f t="shared" si="4"/>
        <v>37.333333333333336</v>
      </c>
    </row>
    <row r="278" spans="1:7" ht="12.75">
      <c r="A278">
        <v>29</v>
      </c>
      <c r="B278">
        <f t="shared" si="0"/>
        <v>25.897000000000002</v>
      </c>
      <c r="C278">
        <f t="shared" si="1"/>
        <v>24.737</v>
      </c>
      <c r="D278">
        <v>29</v>
      </c>
      <c r="E278">
        <f t="shared" si="2"/>
        <v>69.6</v>
      </c>
      <c r="F278">
        <f t="shared" si="3"/>
        <v>43.49999999999999</v>
      </c>
      <c r="G278" s="16">
        <f t="shared" si="4"/>
        <v>38.666666666666664</v>
      </c>
    </row>
    <row r="279" spans="1:7" ht="12.75">
      <c r="A279">
        <v>30</v>
      </c>
      <c r="B279">
        <f t="shared" si="0"/>
        <v>26.79</v>
      </c>
      <c r="C279">
        <f t="shared" si="1"/>
        <v>25.59</v>
      </c>
      <c r="D279">
        <v>30</v>
      </c>
      <c r="E279">
        <f t="shared" si="2"/>
        <v>72</v>
      </c>
      <c r="F279">
        <f t="shared" si="3"/>
        <v>45</v>
      </c>
      <c r="G279" s="16">
        <f t="shared" si="4"/>
        <v>40</v>
      </c>
    </row>
    <row r="280" spans="1:7" ht="12.75">
      <c r="A280">
        <v>31</v>
      </c>
      <c r="B280">
        <f t="shared" si="0"/>
        <v>27.683</v>
      </c>
      <c r="C280">
        <f t="shared" si="1"/>
        <v>26.442999999999998</v>
      </c>
      <c r="D280">
        <v>31</v>
      </c>
      <c r="E280">
        <f t="shared" si="2"/>
        <v>74.39999999999999</v>
      </c>
      <c r="F280">
        <f t="shared" si="3"/>
        <v>46.49999999999999</v>
      </c>
      <c r="G280" s="16">
        <f t="shared" si="4"/>
        <v>41.33333333333333</v>
      </c>
    </row>
    <row r="281" spans="1:7" ht="12.75">
      <c r="A281">
        <v>32</v>
      </c>
      <c r="B281">
        <f t="shared" si="0"/>
        <v>28.576</v>
      </c>
      <c r="C281">
        <f t="shared" si="1"/>
        <v>27.296</v>
      </c>
      <c r="D281">
        <v>32</v>
      </c>
      <c r="E281">
        <f t="shared" si="2"/>
        <v>76.8</v>
      </c>
      <c r="F281">
        <f t="shared" si="3"/>
        <v>47.99999999999999</v>
      </c>
      <c r="G281" s="16">
        <f t="shared" si="4"/>
        <v>42.666666666666664</v>
      </c>
    </row>
    <row r="282" spans="1:7" ht="12.75">
      <c r="A282">
        <v>33</v>
      </c>
      <c r="B282">
        <f aca="true" t="shared" si="5" ref="B282:B299">A282*0.893</f>
        <v>29.469</v>
      </c>
      <c r="C282">
        <f aca="true" t="shared" si="6" ref="C282:C299">A282*0.853</f>
        <v>28.149</v>
      </c>
      <c r="D282">
        <v>33</v>
      </c>
      <c r="E282">
        <f aca="true" t="shared" si="7" ref="E282:E299">(A282*1.2)/0.5</f>
        <v>79.2</v>
      </c>
      <c r="F282">
        <f aca="true" t="shared" si="8" ref="F282:F299">(A282*1.2)/0.8</f>
        <v>49.5</v>
      </c>
      <c r="G282" s="16">
        <f aca="true" t="shared" si="9" ref="G282:G299">(A282*1.2)/0.9</f>
        <v>44</v>
      </c>
    </row>
    <row r="283" spans="1:7" ht="12.75">
      <c r="A283">
        <v>34</v>
      </c>
      <c r="B283">
        <f t="shared" si="5"/>
        <v>30.362000000000002</v>
      </c>
      <c r="C283">
        <f t="shared" si="6"/>
        <v>29.002</v>
      </c>
      <c r="D283">
        <v>34</v>
      </c>
      <c r="E283">
        <f t="shared" si="7"/>
        <v>81.6</v>
      </c>
      <c r="F283">
        <f t="shared" si="8"/>
        <v>50.99999999999999</v>
      </c>
      <c r="G283" s="16">
        <f t="shared" si="9"/>
        <v>45.33333333333333</v>
      </c>
    </row>
    <row r="284" spans="1:7" ht="12.75">
      <c r="A284">
        <v>35</v>
      </c>
      <c r="B284">
        <f t="shared" si="5"/>
        <v>31.255</v>
      </c>
      <c r="C284">
        <f t="shared" si="6"/>
        <v>29.855</v>
      </c>
      <c r="D284">
        <v>35</v>
      </c>
      <c r="E284">
        <f t="shared" si="7"/>
        <v>84</v>
      </c>
      <c r="F284">
        <f t="shared" si="8"/>
        <v>52.5</v>
      </c>
      <c r="G284" s="16">
        <f t="shared" si="9"/>
        <v>46.666666666666664</v>
      </c>
    </row>
    <row r="285" spans="1:7" ht="12.75">
      <c r="A285">
        <v>36</v>
      </c>
      <c r="B285">
        <f t="shared" si="5"/>
        <v>32.148</v>
      </c>
      <c r="C285">
        <f t="shared" si="6"/>
        <v>30.708</v>
      </c>
      <c r="D285">
        <v>36</v>
      </c>
      <c r="E285">
        <f t="shared" si="7"/>
        <v>86.39999999999999</v>
      </c>
      <c r="F285">
        <f t="shared" si="8"/>
        <v>53.99999999999999</v>
      </c>
      <c r="G285" s="16">
        <f t="shared" si="9"/>
        <v>47.99999999999999</v>
      </c>
    </row>
    <row r="286" spans="1:7" ht="12.75">
      <c r="A286">
        <v>37</v>
      </c>
      <c r="B286">
        <f t="shared" si="5"/>
        <v>33.041000000000004</v>
      </c>
      <c r="C286">
        <f t="shared" si="6"/>
        <v>31.561</v>
      </c>
      <c r="D286">
        <v>37</v>
      </c>
      <c r="E286">
        <f t="shared" si="7"/>
        <v>88.8</v>
      </c>
      <c r="F286">
        <f t="shared" si="8"/>
        <v>55.49999999999999</v>
      </c>
      <c r="G286" s="16">
        <f t="shared" si="9"/>
        <v>49.33333333333333</v>
      </c>
    </row>
    <row r="287" spans="1:7" ht="12.75">
      <c r="A287">
        <v>38</v>
      </c>
      <c r="B287">
        <f t="shared" si="5"/>
        <v>33.934</v>
      </c>
      <c r="C287">
        <f t="shared" si="6"/>
        <v>32.414</v>
      </c>
      <c r="D287">
        <v>38</v>
      </c>
      <c r="E287">
        <f t="shared" si="7"/>
        <v>91.2</v>
      </c>
      <c r="F287">
        <f t="shared" si="8"/>
        <v>57</v>
      </c>
      <c r="G287" s="16">
        <f t="shared" si="9"/>
        <v>50.666666666666664</v>
      </c>
    </row>
    <row r="288" spans="1:7" ht="12.75">
      <c r="A288">
        <v>39</v>
      </c>
      <c r="B288">
        <f t="shared" si="5"/>
        <v>34.827</v>
      </c>
      <c r="C288">
        <f t="shared" si="6"/>
        <v>33.266999999999996</v>
      </c>
      <c r="D288">
        <v>39</v>
      </c>
      <c r="E288">
        <f t="shared" si="7"/>
        <v>93.6</v>
      </c>
      <c r="F288">
        <f t="shared" si="8"/>
        <v>58.49999999999999</v>
      </c>
      <c r="G288" s="16">
        <f t="shared" si="9"/>
        <v>51.99999999999999</v>
      </c>
    </row>
    <row r="289" spans="1:7" ht="12.75">
      <c r="A289">
        <v>40</v>
      </c>
      <c r="B289">
        <f t="shared" si="5"/>
        <v>35.72</v>
      </c>
      <c r="C289">
        <f t="shared" si="6"/>
        <v>34.12</v>
      </c>
      <c r="D289">
        <v>40</v>
      </c>
      <c r="E289">
        <f t="shared" si="7"/>
        <v>96</v>
      </c>
      <c r="F289">
        <f t="shared" si="8"/>
        <v>60</v>
      </c>
      <c r="G289" s="16">
        <f t="shared" si="9"/>
        <v>53.33333333333333</v>
      </c>
    </row>
    <row r="290" spans="1:7" ht="12.75">
      <c r="A290">
        <v>41</v>
      </c>
      <c r="B290">
        <f t="shared" si="5"/>
        <v>36.613</v>
      </c>
      <c r="C290">
        <f t="shared" si="6"/>
        <v>34.973</v>
      </c>
      <c r="D290">
        <v>41</v>
      </c>
      <c r="E290">
        <f t="shared" si="7"/>
        <v>98.39999999999999</v>
      </c>
      <c r="F290">
        <f t="shared" si="8"/>
        <v>61.49999999999999</v>
      </c>
      <c r="G290" s="16">
        <f t="shared" si="9"/>
        <v>54.66666666666666</v>
      </c>
    </row>
    <row r="291" spans="1:7" ht="12.75">
      <c r="A291">
        <v>42</v>
      </c>
      <c r="B291">
        <f t="shared" si="5"/>
        <v>37.506</v>
      </c>
      <c r="C291">
        <f t="shared" si="6"/>
        <v>35.826</v>
      </c>
      <c r="D291">
        <v>42</v>
      </c>
      <c r="E291">
        <f t="shared" si="7"/>
        <v>100.8</v>
      </c>
      <c r="F291">
        <f t="shared" si="8"/>
        <v>62.99999999999999</v>
      </c>
      <c r="G291" s="16">
        <f t="shared" si="9"/>
        <v>56</v>
      </c>
    </row>
    <row r="292" spans="1:7" ht="12.75">
      <c r="A292">
        <v>43</v>
      </c>
      <c r="B292">
        <f t="shared" si="5"/>
        <v>38.399</v>
      </c>
      <c r="C292">
        <f t="shared" si="6"/>
        <v>36.679</v>
      </c>
      <c r="D292">
        <v>43</v>
      </c>
      <c r="E292">
        <f t="shared" si="7"/>
        <v>103.2</v>
      </c>
      <c r="F292">
        <f t="shared" si="8"/>
        <v>64.5</v>
      </c>
      <c r="G292" s="16">
        <f t="shared" si="9"/>
        <v>57.333333333333336</v>
      </c>
    </row>
    <row r="293" spans="1:7" ht="12.75">
      <c r="A293">
        <v>44</v>
      </c>
      <c r="B293">
        <f t="shared" si="5"/>
        <v>39.292</v>
      </c>
      <c r="C293">
        <f t="shared" si="6"/>
        <v>37.532</v>
      </c>
      <c r="D293">
        <v>44</v>
      </c>
      <c r="E293">
        <f t="shared" si="7"/>
        <v>105.6</v>
      </c>
      <c r="F293">
        <f t="shared" si="8"/>
        <v>65.99999999999999</v>
      </c>
      <c r="G293" s="16">
        <f t="shared" si="9"/>
        <v>58.666666666666664</v>
      </c>
    </row>
    <row r="294" spans="1:7" ht="12.75">
      <c r="A294">
        <v>45</v>
      </c>
      <c r="B294">
        <f t="shared" si="5"/>
        <v>40.185</v>
      </c>
      <c r="C294">
        <f t="shared" si="6"/>
        <v>38.385</v>
      </c>
      <c r="D294">
        <v>45</v>
      </c>
      <c r="E294">
        <f t="shared" si="7"/>
        <v>108</v>
      </c>
      <c r="F294">
        <f t="shared" si="8"/>
        <v>67.5</v>
      </c>
      <c r="G294" s="16">
        <f t="shared" si="9"/>
        <v>60</v>
      </c>
    </row>
    <row r="295" spans="1:7" ht="12.75">
      <c r="A295">
        <v>46</v>
      </c>
      <c r="B295">
        <f t="shared" si="5"/>
        <v>41.078</v>
      </c>
      <c r="C295">
        <f t="shared" si="6"/>
        <v>39.238</v>
      </c>
      <c r="D295">
        <v>46</v>
      </c>
      <c r="E295">
        <f t="shared" si="7"/>
        <v>110.39999999999999</v>
      </c>
      <c r="F295">
        <f t="shared" si="8"/>
        <v>68.99999999999999</v>
      </c>
      <c r="G295" s="16">
        <f t="shared" si="9"/>
        <v>61.33333333333333</v>
      </c>
    </row>
    <row r="296" spans="1:7" ht="12.75">
      <c r="A296">
        <v>47</v>
      </c>
      <c r="B296">
        <f t="shared" si="5"/>
        <v>41.971000000000004</v>
      </c>
      <c r="C296">
        <f t="shared" si="6"/>
        <v>40.091</v>
      </c>
      <c r="D296">
        <v>47</v>
      </c>
      <c r="E296">
        <f t="shared" si="7"/>
        <v>112.8</v>
      </c>
      <c r="F296">
        <f t="shared" si="8"/>
        <v>70.5</v>
      </c>
      <c r="G296" s="16">
        <f t="shared" si="9"/>
        <v>62.666666666666664</v>
      </c>
    </row>
    <row r="297" spans="1:7" ht="12.75">
      <c r="A297">
        <v>48</v>
      </c>
      <c r="B297">
        <f t="shared" si="5"/>
        <v>42.864000000000004</v>
      </c>
      <c r="C297">
        <f t="shared" si="6"/>
        <v>40.944</v>
      </c>
      <c r="D297">
        <v>48</v>
      </c>
      <c r="E297">
        <f t="shared" si="7"/>
        <v>115.19999999999999</v>
      </c>
      <c r="F297">
        <f t="shared" si="8"/>
        <v>71.99999999999999</v>
      </c>
      <c r="G297" s="16">
        <f t="shared" si="9"/>
        <v>63.99999999999999</v>
      </c>
    </row>
    <row r="298" spans="1:7" ht="12.75">
      <c r="A298">
        <v>49</v>
      </c>
      <c r="B298">
        <f t="shared" si="5"/>
        <v>43.757</v>
      </c>
      <c r="C298">
        <f t="shared" si="6"/>
        <v>41.797</v>
      </c>
      <c r="D298">
        <v>49</v>
      </c>
      <c r="E298">
        <f t="shared" si="7"/>
        <v>117.6</v>
      </c>
      <c r="F298">
        <f t="shared" si="8"/>
        <v>73.49999999999999</v>
      </c>
      <c r="G298" s="16">
        <f t="shared" si="9"/>
        <v>65.33333333333333</v>
      </c>
    </row>
    <row r="299" spans="1:7" ht="12.75">
      <c r="A299">
        <v>50</v>
      </c>
      <c r="B299">
        <f t="shared" si="5"/>
        <v>44.65</v>
      </c>
      <c r="C299">
        <f t="shared" si="6"/>
        <v>42.65</v>
      </c>
      <c r="D299">
        <v>50</v>
      </c>
      <c r="E299">
        <f t="shared" si="7"/>
        <v>120</v>
      </c>
      <c r="F299">
        <f t="shared" si="8"/>
        <v>75</v>
      </c>
      <c r="G299" s="16">
        <f t="shared" si="9"/>
        <v>66.66666666666667</v>
      </c>
    </row>
    <row r="301" ht="12.75">
      <c r="A301" s="1" t="s">
        <v>206</v>
      </c>
    </row>
    <row r="302" ht="12.75">
      <c r="B302" t="s">
        <v>211</v>
      </c>
    </row>
    <row r="303" ht="12.75">
      <c r="B303" t="s">
        <v>212</v>
      </c>
    </row>
    <row r="304" spans="2:8" ht="12.75">
      <c r="B304" s="92" t="s">
        <v>207</v>
      </c>
      <c r="C304" s="92"/>
      <c r="D304" s="92"/>
      <c r="F304" s="92" t="s">
        <v>208</v>
      </c>
      <c r="G304" s="92"/>
      <c r="H304" s="92"/>
    </row>
    <row r="305" spans="2:8" ht="12.75">
      <c r="B305" s="5" t="s">
        <v>202</v>
      </c>
      <c r="C305" s="36" t="s">
        <v>201</v>
      </c>
      <c r="D305" s="29" t="s">
        <v>151</v>
      </c>
      <c r="F305" s="5" t="s">
        <v>202</v>
      </c>
      <c r="G305" s="36" t="s">
        <v>201</v>
      </c>
      <c r="H305" s="29" t="s">
        <v>151</v>
      </c>
    </row>
    <row r="306" spans="1:8" ht="12.75">
      <c r="A306" s="30">
        <v>1</v>
      </c>
      <c r="B306" s="31">
        <v>0.5</v>
      </c>
      <c r="C306" s="32">
        <v>0.2</v>
      </c>
      <c r="D306" s="33">
        <v>0.3</v>
      </c>
      <c r="F306" s="31">
        <v>0.3</v>
      </c>
      <c r="G306" s="32">
        <v>0.2</v>
      </c>
      <c r="H306" s="33">
        <v>0.5</v>
      </c>
    </row>
    <row r="307" spans="1:8" ht="12.75">
      <c r="A307" s="13">
        <v>2</v>
      </c>
      <c r="B307" s="7">
        <v>1</v>
      </c>
      <c r="C307" s="34">
        <v>0.4</v>
      </c>
      <c r="D307" s="8">
        <v>0.6</v>
      </c>
      <c r="F307" s="7">
        <v>0.6</v>
      </c>
      <c r="G307" s="34">
        <v>0.4</v>
      </c>
      <c r="H307" s="8">
        <v>1</v>
      </c>
    </row>
    <row r="308" spans="1:8" ht="12.75">
      <c r="A308" s="13">
        <v>3</v>
      </c>
      <c r="B308" s="7">
        <v>1.5</v>
      </c>
      <c r="C308" s="34">
        <v>0.6</v>
      </c>
      <c r="D308" s="8">
        <v>0.9</v>
      </c>
      <c r="F308" s="7">
        <v>0.9</v>
      </c>
      <c r="G308" s="34">
        <v>0.6</v>
      </c>
      <c r="H308" s="8">
        <v>1.5</v>
      </c>
    </row>
    <row r="309" spans="1:8" ht="12.75">
      <c r="A309" s="13">
        <v>4</v>
      </c>
      <c r="B309" s="7">
        <v>2</v>
      </c>
      <c r="C309" s="34">
        <v>0.8</v>
      </c>
      <c r="D309" s="8">
        <v>1.2</v>
      </c>
      <c r="F309" s="7">
        <v>1.2</v>
      </c>
      <c r="G309" s="34">
        <v>0.8</v>
      </c>
      <c r="H309" s="8">
        <v>2</v>
      </c>
    </row>
    <row r="310" spans="1:8" ht="12.75">
      <c r="A310" s="13">
        <v>5</v>
      </c>
      <c r="B310" s="7">
        <v>2.5</v>
      </c>
      <c r="C310" s="34">
        <v>1</v>
      </c>
      <c r="D310" s="8">
        <v>1.5</v>
      </c>
      <c r="F310" s="7">
        <v>1.5</v>
      </c>
      <c r="G310" s="34">
        <v>1</v>
      </c>
      <c r="H310" s="8">
        <v>2.5</v>
      </c>
    </row>
    <row r="311" spans="1:8" ht="12.75">
      <c r="A311" s="13">
        <v>6</v>
      </c>
      <c r="B311" s="7">
        <v>3</v>
      </c>
      <c r="C311" s="34">
        <v>1.2</v>
      </c>
      <c r="D311" s="8">
        <v>1.8</v>
      </c>
      <c r="F311" s="7">
        <v>1.8</v>
      </c>
      <c r="G311" s="34">
        <v>1.2</v>
      </c>
      <c r="H311" s="8">
        <v>3</v>
      </c>
    </row>
    <row r="312" spans="1:8" ht="12.75">
      <c r="A312" s="13">
        <v>7</v>
      </c>
      <c r="B312" s="7">
        <v>3.5</v>
      </c>
      <c r="C312" s="34">
        <v>1.4</v>
      </c>
      <c r="D312" s="8">
        <v>2.1</v>
      </c>
      <c r="F312" s="7">
        <v>2.1</v>
      </c>
      <c r="G312" s="34">
        <v>1.4</v>
      </c>
      <c r="H312" s="8">
        <v>3.5</v>
      </c>
    </row>
    <row r="313" spans="1:8" ht="12.75">
      <c r="A313" s="13">
        <v>8</v>
      </c>
      <c r="B313" s="7">
        <v>4</v>
      </c>
      <c r="C313" s="34">
        <v>1.6</v>
      </c>
      <c r="D313" s="8">
        <v>2.4</v>
      </c>
      <c r="F313" s="7">
        <v>2.4</v>
      </c>
      <c r="G313" s="34">
        <v>1.6</v>
      </c>
      <c r="H313" s="8">
        <v>4</v>
      </c>
    </row>
    <row r="314" spans="1:8" ht="12.75">
      <c r="A314" s="13">
        <v>9</v>
      </c>
      <c r="B314" s="7">
        <v>4.5</v>
      </c>
      <c r="C314" s="34">
        <v>1.8</v>
      </c>
      <c r="D314" s="8">
        <v>2.7</v>
      </c>
      <c r="F314" s="7">
        <v>2.7</v>
      </c>
      <c r="G314" s="34">
        <v>1.8</v>
      </c>
      <c r="H314" s="8">
        <v>4.5</v>
      </c>
    </row>
    <row r="315" spans="1:8" ht="12.75">
      <c r="A315" s="13">
        <v>10</v>
      </c>
      <c r="B315" s="7">
        <v>5</v>
      </c>
      <c r="C315" s="34">
        <v>2</v>
      </c>
      <c r="D315" s="8">
        <v>3</v>
      </c>
      <c r="F315" s="7">
        <v>3</v>
      </c>
      <c r="G315" s="34">
        <v>2</v>
      </c>
      <c r="H315" s="8">
        <v>5</v>
      </c>
    </row>
    <row r="316" spans="1:8" ht="12.75">
      <c r="A316" s="13">
        <v>11</v>
      </c>
      <c r="B316" s="7">
        <v>5.5</v>
      </c>
      <c r="C316" s="34">
        <v>2.2</v>
      </c>
      <c r="D316" s="8">
        <v>3.3</v>
      </c>
      <c r="F316" s="7">
        <v>3.3</v>
      </c>
      <c r="G316" s="34">
        <v>2.2</v>
      </c>
      <c r="H316" s="8">
        <v>5.5</v>
      </c>
    </row>
    <row r="317" spans="1:8" ht="12.75">
      <c r="A317" s="13">
        <v>12</v>
      </c>
      <c r="B317" s="7">
        <v>6</v>
      </c>
      <c r="C317" s="34">
        <v>2.4</v>
      </c>
      <c r="D317" s="8">
        <v>3.6</v>
      </c>
      <c r="F317" s="7">
        <v>3.6</v>
      </c>
      <c r="G317" s="34">
        <v>2.4</v>
      </c>
      <c r="H317" s="8">
        <v>6</v>
      </c>
    </row>
    <row r="318" spans="1:8" ht="12.75">
      <c r="A318" s="13">
        <v>13</v>
      </c>
      <c r="B318" s="7">
        <v>6.5</v>
      </c>
      <c r="C318" s="34">
        <v>2.6</v>
      </c>
      <c r="D318" s="8">
        <v>3.9</v>
      </c>
      <c r="F318" s="7">
        <v>3.9</v>
      </c>
      <c r="G318" s="34">
        <v>2.6</v>
      </c>
      <c r="H318" s="8">
        <v>6.5</v>
      </c>
    </row>
    <row r="319" spans="1:8" ht="12.75">
      <c r="A319" s="13">
        <v>14</v>
      </c>
      <c r="B319" s="7">
        <v>7</v>
      </c>
      <c r="C319" s="34">
        <v>2.8</v>
      </c>
      <c r="D319" s="8">
        <v>4.2</v>
      </c>
      <c r="F319" s="7">
        <v>4.2</v>
      </c>
      <c r="G319" s="34">
        <v>2.8</v>
      </c>
      <c r="H319" s="8">
        <v>7</v>
      </c>
    </row>
    <row r="320" spans="1:8" ht="12.75">
      <c r="A320" s="13">
        <v>15</v>
      </c>
      <c r="B320" s="7">
        <v>7.5</v>
      </c>
      <c r="C320" s="34">
        <v>3</v>
      </c>
      <c r="D320" s="8">
        <v>4.5</v>
      </c>
      <c r="F320" s="7">
        <v>4.5</v>
      </c>
      <c r="G320" s="34">
        <v>3</v>
      </c>
      <c r="H320" s="8">
        <v>7.5</v>
      </c>
    </row>
    <row r="321" spans="1:8" ht="12.75">
      <c r="A321" s="13">
        <v>16</v>
      </c>
      <c r="B321" s="7">
        <v>8</v>
      </c>
      <c r="C321" s="34">
        <v>3.2</v>
      </c>
      <c r="D321" s="8">
        <v>4.8</v>
      </c>
      <c r="F321" s="7">
        <v>4.8</v>
      </c>
      <c r="G321" s="34">
        <v>3.2</v>
      </c>
      <c r="H321" s="8">
        <v>8</v>
      </c>
    </row>
    <row r="322" spans="1:8" ht="12.75">
      <c r="A322" s="13">
        <v>17</v>
      </c>
      <c r="B322" s="7">
        <v>8.5</v>
      </c>
      <c r="C322" s="34">
        <v>3.4</v>
      </c>
      <c r="D322" s="8">
        <v>5.1</v>
      </c>
      <c r="F322" s="7">
        <v>5.1</v>
      </c>
      <c r="G322" s="34">
        <v>3.4</v>
      </c>
      <c r="H322" s="8">
        <v>8.5</v>
      </c>
    </row>
    <row r="323" spans="1:8" ht="12.75">
      <c r="A323" s="13">
        <v>18</v>
      </c>
      <c r="B323" s="7">
        <v>9</v>
      </c>
      <c r="C323" s="34">
        <v>3.6</v>
      </c>
      <c r="D323" s="8">
        <v>5.4</v>
      </c>
      <c r="F323" s="7">
        <v>5.4</v>
      </c>
      <c r="G323" s="34">
        <v>3.6</v>
      </c>
      <c r="H323" s="8">
        <v>9</v>
      </c>
    </row>
    <row r="324" spans="1:8" ht="12.75">
      <c r="A324" s="13">
        <v>19</v>
      </c>
      <c r="B324" s="7">
        <v>9.5</v>
      </c>
      <c r="C324" s="34">
        <v>3.8</v>
      </c>
      <c r="D324" s="8">
        <v>5.7</v>
      </c>
      <c r="F324" s="7">
        <v>5.7</v>
      </c>
      <c r="G324" s="34">
        <v>3.8</v>
      </c>
      <c r="H324" s="8">
        <v>9.5</v>
      </c>
    </row>
    <row r="325" spans="1:8" ht="12.75">
      <c r="A325" s="13">
        <v>20</v>
      </c>
      <c r="B325" s="7">
        <v>10</v>
      </c>
      <c r="C325" s="34">
        <v>4</v>
      </c>
      <c r="D325" s="8">
        <v>6</v>
      </c>
      <c r="F325" s="7">
        <v>6</v>
      </c>
      <c r="G325" s="34">
        <v>4</v>
      </c>
      <c r="H325" s="8">
        <v>10</v>
      </c>
    </row>
    <row r="326" spans="1:8" ht="12.75">
      <c r="A326" s="13">
        <v>21</v>
      </c>
      <c r="B326" s="7">
        <v>10.5</v>
      </c>
      <c r="C326" s="34">
        <v>4.2</v>
      </c>
      <c r="D326" s="8">
        <v>6.3</v>
      </c>
      <c r="F326" s="7">
        <v>6.3</v>
      </c>
      <c r="G326" s="34">
        <v>4.2</v>
      </c>
      <c r="H326" s="8">
        <v>10.5</v>
      </c>
    </row>
    <row r="327" spans="1:8" ht="12.75">
      <c r="A327" s="13">
        <v>22</v>
      </c>
      <c r="B327" s="7">
        <v>11</v>
      </c>
      <c r="C327" s="34">
        <v>4.4</v>
      </c>
      <c r="D327" s="8">
        <v>6.6</v>
      </c>
      <c r="F327" s="7">
        <v>6.6</v>
      </c>
      <c r="G327" s="34">
        <v>4.4</v>
      </c>
      <c r="H327" s="8">
        <v>11</v>
      </c>
    </row>
    <row r="328" spans="1:8" ht="12.75">
      <c r="A328" s="13">
        <v>23</v>
      </c>
      <c r="B328" s="7">
        <v>11.5</v>
      </c>
      <c r="C328" s="34">
        <v>4.6</v>
      </c>
      <c r="D328" s="8">
        <v>6.9</v>
      </c>
      <c r="F328" s="7">
        <v>6.9</v>
      </c>
      <c r="G328" s="34">
        <v>4.6</v>
      </c>
      <c r="H328" s="8">
        <v>11.5</v>
      </c>
    </row>
    <row r="329" spans="1:8" ht="12.75">
      <c r="A329" s="13">
        <v>24</v>
      </c>
      <c r="B329" s="7">
        <v>12</v>
      </c>
      <c r="C329" s="34">
        <v>4.8</v>
      </c>
      <c r="D329" s="8">
        <v>7.2</v>
      </c>
      <c r="F329" s="7">
        <v>7.2</v>
      </c>
      <c r="G329" s="34">
        <v>4.8</v>
      </c>
      <c r="H329" s="8">
        <v>12</v>
      </c>
    </row>
    <row r="330" spans="1:8" ht="12.75">
      <c r="A330" s="13">
        <v>25</v>
      </c>
      <c r="B330" s="7">
        <v>12.5</v>
      </c>
      <c r="C330" s="34">
        <v>5</v>
      </c>
      <c r="D330" s="8">
        <v>7.5</v>
      </c>
      <c r="F330" s="7">
        <v>7.5</v>
      </c>
      <c r="G330" s="34">
        <v>5</v>
      </c>
      <c r="H330" s="8">
        <v>12.5</v>
      </c>
    </row>
    <row r="331" spans="1:8" ht="12.75">
      <c r="A331" s="13">
        <v>26</v>
      </c>
      <c r="B331" s="7">
        <v>13</v>
      </c>
      <c r="C331" s="34">
        <v>5.2</v>
      </c>
      <c r="D331" s="8">
        <v>7.8</v>
      </c>
      <c r="F331" s="7">
        <v>7.8</v>
      </c>
      <c r="G331" s="34">
        <v>5.2</v>
      </c>
      <c r="H331" s="8">
        <v>13</v>
      </c>
    </row>
    <row r="332" spans="1:8" ht="12.75">
      <c r="A332" s="13">
        <v>27</v>
      </c>
      <c r="B332" s="7">
        <v>13.5</v>
      </c>
      <c r="C332" s="34">
        <v>5.4</v>
      </c>
      <c r="D332" s="8">
        <v>8.1</v>
      </c>
      <c r="F332" s="7">
        <v>8.1</v>
      </c>
      <c r="G332" s="34">
        <v>5.4</v>
      </c>
      <c r="H332" s="8">
        <v>13.5</v>
      </c>
    </row>
    <row r="333" spans="1:8" ht="12.75">
      <c r="A333" s="13">
        <v>28</v>
      </c>
      <c r="B333" s="7">
        <v>14</v>
      </c>
      <c r="C333" s="34">
        <v>5.6</v>
      </c>
      <c r="D333" s="8">
        <v>8.4</v>
      </c>
      <c r="F333" s="7">
        <v>8.4</v>
      </c>
      <c r="G333" s="34">
        <v>5.6</v>
      </c>
      <c r="H333" s="8">
        <v>14</v>
      </c>
    </row>
    <row r="334" spans="1:8" ht="12.75">
      <c r="A334" s="13">
        <v>29</v>
      </c>
      <c r="B334" s="7">
        <v>14.5</v>
      </c>
      <c r="C334" s="34">
        <v>5.8</v>
      </c>
      <c r="D334" s="8">
        <v>8.7</v>
      </c>
      <c r="F334" s="7">
        <v>8.7</v>
      </c>
      <c r="G334" s="34">
        <v>5.8</v>
      </c>
      <c r="H334" s="8">
        <v>14.5</v>
      </c>
    </row>
    <row r="335" spans="1:8" ht="12.75">
      <c r="A335" s="13">
        <v>30</v>
      </c>
      <c r="B335" s="7">
        <v>15</v>
      </c>
      <c r="C335" s="34">
        <v>6</v>
      </c>
      <c r="D335" s="8">
        <v>9</v>
      </c>
      <c r="F335" s="7">
        <v>9</v>
      </c>
      <c r="G335" s="34">
        <v>6</v>
      </c>
      <c r="H335" s="8">
        <v>15</v>
      </c>
    </row>
    <row r="336" spans="1:8" ht="12.75">
      <c r="A336" s="13">
        <v>31</v>
      </c>
      <c r="B336" s="7">
        <v>15.5</v>
      </c>
      <c r="C336" s="34">
        <v>6.2</v>
      </c>
      <c r="D336" s="8">
        <v>9.3</v>
      </c>
      <c r="F336" s="7">
        <v>9.3</v>
      </c>
      <c r="G336" s="34">
        <v>6.2</v>
      </c>
      <c r="H336" s="8">
        <v>15.5</v>
      </c>
    </row>
    <row r="337" spans="1:8" ht="12.75">
      <c r="A337" s="13">
        <v>32</v>
      </c>
      <c r="B337" s="7">
        <v>16</v>
      </c>
      <c r="C337" s="34">
        <v>6.4</v>
      </c>
      <c r="D337" s="8">
        <v>9.6</v>
      </c>
      <c r="F337" s="7">
        <v>9.6</v>
      </c>
      <c r="G337" s="34">
        <v>6.4</v>
      </c>
      <c r="H337" s="8">
        <v>16</v>
      </c>
    </row>
    <row r="338" spans="1:8" ht="12.75">
      <c r="A338" s="13">
        <v>33</v>
      </c>
      <c r="B338" s="7">
        <v>16.5</v>
      </c>
      <c r="C338" s="34">
        <v>6.6</v>
      </c>
      <c r="D338" s="8">
        <v>9.9</v>
      </c>
      <c r="F338" s="7">
        <v>9.9</v>
      </c>
      <c r="G338" s="34">
        <v>6.6</v>
      </c>
      <c r="H338" s="8">
        <v>16.5</v>
      </c>
    </row>
    <row r="339" spans="1:8" ht="12.75">
      <c r="A339" s="13">
        <v>34</v>
      </c>
      <c r="B339" s="7">
        <v>17</v>
      </c>
      <c r="C339" s="34">
        <v>6.8</v>
      </c>
      <c r="D339" s="8">
        <v>10.2</v>
      </c>
      <c r="F339" s="7">
        <v>10.2</v>
      </c>
      <c r="G339" s="34">
        <v>6.8</v>
      </c>
      <c r="H339" s="8">
        <v>17</v>
      </c>
    </row>
    <row r="340" spans="1:8" ht="12.75">
      <c r="A340" s="13">
        <v>35</v>
      </c>
      <c r="B340" s="7">
        <v>17.5</v>
      </c>
      <c r="C340" s="34">
        <v>7</v>
      </c>
      <c r="D340" s="8">
        <v>10.5</v>
      </c>
      <c r="F340" s="7">
        <v>10.5</v>
      </c>
      <c r="G340" s="34">
        <v>7</v>
      </c>
      <c r="H340" s="8">
        <v>17.5</v>
      </c>
    </row>
    <row r="341" spans="1:8" ht="12.75">
      <c r="A341" s="13">
        <v>36</v>
      </c>
      <c r="B341" s="7">
        <v>18</v>
      </c>
      <c r="C341" s="34">
        <v>7.2</v>
      </c>
      <c r="D341" s="8">
        <v>10.8</v>
      </c>
      <c r="F341" s="7">
        <v>10.8</v>
      </c>
      <c r="G341" s="34">
        <v>7.2</v>
      </c>
      <c r="H341" s="8">
        <v>18</v>
      </c>
    </row>
    <row r="342" spans="1:8" ht="12.75">
      <c r="A342" s="13">
        <v>37</v>
      </c>
      <c r="B342" s="7">
        <v>18.5</v>
      </c>
      <c r="C342" s="34">
        <v>7.4</v>
      </c>
      <c r="D342" s="8">
        <v>11.1</v>
      </c>
      <c r="F342" s="7">
        <v>11.1</v>
      </c>
      <c r="G342" s="34">
        <v>7.4</v>
      </c>
      <c r="H342" s="8">
        <v>18.5</v>
      </c>
    </row>
    <row r="343" spans="1:8" ht="12.75">
      <c r="A343" s="13">
        <v>38</v>
      </c>
      <c r="B343" s="7">
        <v>19</v>
      </c>
      <c r="C343" s="34">
        <v>7.6</v>
      </c>
      <c r="D343" s="8">
        <v>11.4</v>
      </c>
      <c r="F343" s="7">
        <v>11.4</v>
      </c>
      <c r="G343" s="34">
        <v>7.6</v>
      </c>
      <c r="H343" s="8">
        <v>19</v>
      </c>
    </row>
    <row r="344" spans="1:8" ht="12.75">
      <c r="A344" s="13">
        <v>39</v>
      </c>
      <c r="B344" s="7">
        <v>19.5</v>
      </c>
      <c r="C344" s="34">
        <v>7.8</v>
      </c>
      <c r="D344" s="8">
        <v>11.7</v>
      </c>
      <c r="F344" s="7">
        <v>11.7</v>
      </c>
      <c r="G344" s="34">
        <v>7.8</v>
      </c>
      <c r="H344" s="8">
        <v>19.5</v>
      </c>
    </row>
    <row r="345" spans="1:8" ht="12.75">
      <c r="A345" s="13">
        <v>40</v>
      </c>
      <c r="B345" s="7">
        <v>20</v>
      </c>
      <c r="C345" s="34">
        <v>8</v>
      </c>
      <c r="D345" s="8">
        <v>12</v>
      </c>
      <c r="F345" s="7">
        <v>12</v>
      </c>
      <c r="G345" s="34">
        <v>8</v>
      </c>
      <c r="H345" s="8">
        <v>20</v>
      </c>
    </row>
    <row r="346" spans="1:8" ht="12.75">
      <c r="A346" s="13">
        <v>41</v>
      </c>
      <c r="B346" s="7">
        <v>20.5</v>
      </c>
      <c r="C346" s="34">
        <v>8.2</v>
      </c>
      <c r="D346" s="8">
        <v>12.3</v>
      </c>
      <c r="F346" s="7">
        <v>12.3</v>
      </c>
      <c r="G346" s="34">
        <v>8.2</v>
      </c>
      <c r="H346" s="8">
        <v>20.5</v>
      </c>
    </row>
    <row r="347" spans="1:8" ht="12.75">
      <c r="A347" s="13">
        <v>42</v>
      </c>
      <c r="B347" s="7">
        <v>21</v>
      </c>
      <c r="C347" s="34">
        <v>8.4</v>
      </c>
      <c r="D347" s="8">
        <v>12.6</v>
      </c>
      <c r="F347" s="7">
        <v>12.6</v>
      </c>
      <c r="G347" s="34">
        <v>8.4</v>
      </c>
      <c r="H347" s="8">
        <v>21</v>
      </c>
    </row>
    <row r="348" spans="1:8" ht="12.75">
      <c r="A348" s="13">
        <v>43</v>
      </c>
      <c r="B348" s="7">
        <v>21.5</v>
      </c>
      <c r="C348" s="34">
        <v>8.6</v>
      </c>
      <c r="D348" s="8">
        <v>12.9</v>
      </c>
      <c r="F348" s="7">
        <v>12.9</v>
      </c>
      <c r="G348" s="34">
        <v>8.6</v>
      </c>
      <c r="H348" s="8">
        <v>21.5</v>
      </c>
    </row>
    <row r="349" spans="1:8" ht="12.75">
      <c r="A349" s="13">
        <v>44</v>
      </c>
      <c r="B349" s="7">
        <v>22</v>
      </c>
      <c r="C349" s="34">
        <v>8.8</v>
      </c>
      <c r="D349" s="8">
        <v>13.2</v>
      </c>
      <c r="F349" s="7">
        <v>13.2</v>
      </c>
      <c r="G349" s="34">
        <v>8.8</v>
      </c>
      <c r="H349" s="8">
        <v>22</v>
      </c>
    </row>
    <row r="350" spans="1:8" ht="12.75">
      <c r="A350" s="13">
        <v>45</v>
      </c>
      <c r="B350" s="7">
        <v>22.5</v>
      </c>
      <c r="C350" s="34">
        <v>9</v>
      </c>
      <c r="D350" s="8">
        <v>13.5</v>
      </c>
      <c r="F350" s="7">
        <v>13.5</v>
      </c>
      <c r="G350" s="34">
        <v>9</v>
      </c>
      <c r="H350" s="8">
        <v>22.5</v>
      </c>
    </row>
    <row r="351" spans="1:8" ht="12.75">
      <c r="A351" s="13">
        <v>46</v>
      </c>
      <c r="B351" s="7">
        <v>23</v>
      </c>
      <c r="C351" s="34">
        <v>9.2</v>
      </c>
      <c r="D351" s="8">
        <v>13.8</v>
      </c>
      <c r="F351" s="7">
        <v>13.8</v>
      </c>
      <c r="G351" s="34">
        <v>9.2</v>
      </c>
      <c r="H351" s="8">
        <v>23</v>
      </c>
    </row>
    <row r="352" spans="1:8" ht="12.75">
      <c r="A352" s="13">
        <v>47</v>
      </c>
      <c r="B352" s="7">
        <v>23.5</v>
      </c>
      <c r="C352" s="34">
        <v>9.4</v>
      </c>
      <c r="D352" s="8">
        <v>14.1</v>
      </c>
      <c r="F352" s="7">
        <v>14.1</v>
      </c>
      <c r="G352" s="34">
        <v>9.4</v>
      </c>
      <c r="H352" s="8">
        <v>23.5</v>
      </c>
    </row>
    <row r="353" spans="1:8" ht="12.75">
      <c r="A353" s="13">
        <v>48</v>
      </c>
      <c r="B353" s="7">
        <v>24</v>
      </c>
      <c r="C353" s="34">
        <v>9.6</v>
      </c>
      <c r="D353" s="8">
        <v>14.4</v>
      </c>
      <c r="F353" s="7">
        <v>14.4</v>
      </c>
      <c r="G353" s="34">
        <v>9.6</v>
      </c>
      <c r="H353" s="8">
        <v>24</v>
      </c>
    </row>
    <row r="354" spans="1:8" ht="12.75">
      <c r="A354" s="13">
        <v>49</v>
      </c>
      <c r="B354" s="7">
        <v>24.5</v>
      </c>
      <c r="C354" s="34">
        <v>9.8</v>
      </c>
      <c r="D354" s="8">
        <v>14.7</v>
      </c>
      <c r="F354" s="7">
        <v>14.7</v>
      </c>
      <c r="G354" s="34">
        <v>9.8</v>
      </c>
      <c r="H354" s="8">
        <v>24.5</v>
      </c>
    </row>
    <row r="355" spans="1:8" ht="12.75">
      <c r="A355" s="14">
        <v>50</v>
      </c>
      <c r="B355" s="9">
        <v>25</v>
      </c>
      <c r="C355" s="35">
        <v>10</v>
      </c>
      <c r="D355" s="10">
        <v>15</v>
      </c>
      <c r="F355" s="9">
        <v>15</v>
      </c>
      <c r="G355" s="35">
        <v>10</v>
      </c>
      <c r="H355" s="10">
        <v>25</v>
      </c>
    </row>
  </sheetData>
  <mergeCells count="8">
    <mergeCell ref="F304:H304"/>
    <mergeCell ref="B304:D304"/>
    <mergeCell ref="A145:F145"/>
    <mergeCell ref="A212:F212"/>
    <mergeCell ref="B216:F216"/>
    <mergeCell ref="B147:F147"/>
    <mergeCell ref="B179:F179"/>
    <mergeCell ref="A177:F177"/>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I17" sqref="I17"/>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Etienne</dc:creator>
  <cp:keywords/>
  <dc:description/>
  <cp:lastModifiedBy>Etienne</cp:lastModifiedBy>
  <cp:lastPrinted>2000-07-06T04:50:21Z</cp:lastPrinted>
  <dcterms:created xsi:type="dcterms:W3CDTF">2000-06-26T21:55:40Z</dcterms:created>
  <dcterms:modified xsi:type="dcterms:W3CDTF">2008-11-30T08:32:28Z</dcterms:modified>
  <cp:category/>
  <cp:version/>
  <cp:contentType/>
  <cp:contentStatus/>
</cp:coreProperties>
</file>